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damp\Desktop\"/>
    </mc:Choice>
  </mc:AlternateContent>
  <xr:revisionPtr revIDLastSave="0" documentId="8_{FC04BC4E-2B64-4B36-8F61-833868C710F3}" xr6:coauthVersionLast="47" xr6:coauthVersionMax="47" xr10:uidLastSave="{00000000-0000-0000-0000-000000000000}"/>
  <bookViews>
    <workbookView xWindow="2145" yWindow="1020" windowWidth="23610" windowHeight="17310" activeTab="4"/>
  </bookViews>
  <sheets>
    <sheet name="Projekt" sheetId="1" r:id="rId1"/>
    <sheet name="AKTIV.XLS" sheetId="2" r:id="rId2"/>
    <sheet name="ABWASSER" sheetId="3" r:id="rId3"/>
    <sheet name="Tabelle1" sheetId="4" r:id="rId4"/>
    <sheet name="ABKDIM.XLS" sheetId="5" r:id="rId5"/>
    <sheet name="ABLUFT" sheetId="16" r:id="rId6"/>
    <sheet name="Tabelle2" sheetId="17" r:id="rId7"/>
  </sheets>
  <definedNames>
    <definedName name="Abstand_BEH">#REF!</definedName>
    <definedName name="Abstand_Station">#REF!</definedName>
    <definedName name="Agrenz">ABKDIM.XLS!$B$7</definedName>
    <definedName name="Anz_BEH2" localSheetId="5">#REF!</definedName>
    <definedName name="Anz_BEH2">#REF!</definedName>
    <definedName name="AnzBeh" localSheetId="5">#REF!</definedName>
    <definedName name="AnzBeh">#REF!</definedName>
    <definedName name="AnzBEHgesamt" localSheetId="5">ABLUFT!AnzBeh+ABLUFT!Anz_BEH2</definedName>
    <definedName name="AnzBEHgesamt">[0]!AnzBeh+[0]!Anz_BEH2</definedName>
    <definedName name="AnzDuschen">#REF!</definedName>
    <definedName name="AnzFalleitung">#REF!</definedName>
    <definedName name="AnzHebe">#REF!</definedName>
    <definedName name="AnzPatienten_Diagnostik">ABWASSER!$D$20</definedName>
    <definedName name="AnzPatienten_Therapie">ABWASSER!$D$9</definedName>
    <definedName name="AnzRing1">#REF!</definedName>
    <definedName name="AnzRing2">#REF!</definedName>
    <definedName name="AnzToi">#REF!</definedName>
    <definedName name="AnzToi2">#REF!</definedName>
    <definedName name="AnzToi3">#REF!</definedName>
    <definedName name="AnzVakuum">#REF!</definedName>
    <definedName name="AnzWaschbecken">#REF!</definedName>
    <definedName name="Ao">ABKDIM.XLS!$B$4</definedName>
    <definedName name="dt">ABKDIM.XLS!$B$73</definedName>
    <definedName name="dV">ABKDIM.XLS!$E$73</definedName>
    <definedName name="Erdtanks">#REF!</definedName>
    <definedName name="Fgrad">ABKDIM.XLS!$F$5</definedName>
    <definedName name="Grenzwert">#REF!</definedName>
    <definedName name="HWZ">#REF!</definedName>
    <definedName name="Lambda">ABKDIM.XLS!$B$72</definedName>
    <definedName name="Preis_Behälter">#REF!</definedName>
    <definedName name="Preis_Behälter2">#REF!</definedName>
    <definedName name="Preis_Toilette" localSheetId="5">#REF!</definedName>
    <definedName name="Preis_Toilette">#REF!</definedName>
    <definedName name="Rückschlagklappe_PN_10_DN_50">#REF!</definedName>
    <definedName name="Zulauf">#REF!</definedName>
    <definedName name="Zulaufring__Volumen_2">#REF!</definedName>
  </definedNames>
  <calcPr calcId="181029"/>
</workbook>
</file>

<file path=xl/calcChain.xml><?xml version="1.0" encoding="utf-8"?>
<calcChain xmlns="http://schemas.openxmlformats.org/spreadsheetml/2006/main">
  <c r="A1" i="5" l="1"/>
  <c r="M1" i="5" s="1"/>
  <c r="B72" i="5"/>
  <c r="A6" i="16"/>
  <c r="D16" i="16"/>
  <c r="F16" i="16"/>
  <c r="D17" i="16"/>
  <c r="D26" i="16" s="1"/>
  <c r="D38" i="16" s="1"/>
  <c r="D18" i="16"/>
  <c r="F18" i="16" s="1"/>
  <c r="D19" i="16"/>
  <c r="F19" i="16" s="1"/>
  <c r="D20" i="16"/>
  <c r="F20" i="16"/>
  <c r="D21" i="16"/>
  <c r="F21" i="16" s="1"/>
  <c r="D22" i="16"/>
  <c r="F22" i="16" s="1"/>
  <c r="D23" i="16"/>
  <c r="F23" i="16" s="1"/>
  <c r="D24" i="16"/>
  <c r="F24" i="16"/>
  <c r="D25" i="16"/>
  <c r="F25" i="16" s="1"/>
  <c r="B26" i="16"/>
  <c r="B38" i="16" s="1"/>
  <c r="G26" i="16"/>
  <c r="H26" i="16"/>
  <c r="G27" i="16"/>
  <c r="G29" i="16" s="1"/>
  <c r="G30" i="16" s="1"/>
  <c r="H27" i="16"/>
  <c r="H29" i="16" s="1"/>
  <c r="H30" i="16" s="1"/>
  <c r="D36" i="16"/>
  <c r="F36" i="16"/>
  <c r="D37" i="16"/>
  <c r="F37" i="16"/>
  <c r="E39" i="16"/>
  <c r="F39" i="16" s="1"/>
  <c r="A3" i="3"/>
  <c r="D9" i="3"/>
  <c r="E9" i="3"/>
  <c r="F9" i="3" s="1"/>
  <c r="E10" i="3"/>
  <c r="F10" i="3" s="1"/>
  <c r="E13" i="3"/>
  <c r="F13" i="3"/>
  <c r="E14" i="3"/>
  <c r="E18" i="3" s="1"/>
  <c r="E16" i="3"/>
  <c r="F16" i="3" s="1"/>
  <c r="E20" i="3"/>
  <c r="C23" i="3"/>
  <c r="E23" i="3" s="1"/>
  <c r="F23" i="3" s="1"/>
  <c r="C24" i="3"/>
  <c r="E24" i="3"/>
  <c r="F24" i="3" s="1"/>
  <c r="C25" i="3"/>
  <c r="E25" i="3"/>
  <c r="A5" i="2"/>
  <c r="B9" i="2"/>
  <c r="B18" i="2" s="1"/>
  <c r="C22" i="2" s="1"/>
  <c r="C9" i="2"/>
  <c r="C18" i="2" s="1"/>
  <c r="B17" i="2"/>
  <c r="C17" i="2"/>
  <c r="C21" i="2" s="1"/>
  <c r="C11" i="4"/>
  <c r="D11" i="4"/>
  <c r="B17" i="4"/>
  <c r="B18" i="4" s="1"/>
  <c r="C17" i="4"/>
  <c r="D17" i="4"/>
  <c r="E17" i="4"/>
  <c r="F17" i="4"/>
  <c r="F18" i="4" s="1"/>
  <c r="C18" i="4"/>
  <c r="D18" i="4"/>
  <c r="E18" i="4"/>
  <c r="E23" i="4"/>
  <c r="E24" i="4"/>
  <c r="E25" i="4"/>
  <c r="E31" i="4" s="1"/>
  <c r="H31" i="4" s="1"/>
  <c r="H32" i="4" s="1"/>
  <c r="E26" i="4"/>
  <c r="E27" i="4"/>
  <c r="E28" i="4"/>
  <c r="E29" i="4"/>
  <c r="E30" i="4"/>
  <c r="C31" i="4"/>
  <c r="B36" i="4"/>
  <c r="G36" i="4"/>
  <c r="G42" i="4" s="1"/>
  <c r="G43" i="4" s="1"/>
  <c r="B37" i="4"/>
  <c r="B38" i="4"/>
  <c r="B39" i="4"/>
  <c r="B41" i="4"/>
  <c r="C41" i="4"/>
  <c r="D41" i="4"/>
  <c r="E41" i="4"/>
  <c r="F41" i="4"/>
  <c r="B42" i="4"/>
  <c r="B43" i="4" s="1"/>
  <c r="E15" i="17"/>
  <c r="F15" i="17"/>
  <c r="E16" i="17"/>
  <c r="F16" i="17"/>
  <c r="E17" i="17"/>
  <c r="F17" i="17"/>
  <c r="E18" i="17"/>
  <c r="F18" i="17"/>
  <c r="E19" i="17"/>
  <c r="F19" i="17"/>
  <c r="E20" i="17"/>
  <c r="F20" i="17"/>
  <c r="E21" i="17"/>
  <c r="F21" i="17"/>
  <c r="E22" i="17"/>
  <c r="F22" i="17"/>
  <c r="E23" i="17"/>
  <c r="F23" i="17"/>
  <c r="B3" i="5" l="1"/>
  <c r="B4" i="5" s="1"/>
  <c r="E22" i="2"/>
  <c r="C23" i="2"/>
  <c r="F18" i="3"/>
  <c r="E27" i="3"/>
  <c r="F14" i="3"/>
  <c r="F17" i="16"/>
  <c r="F26" i="16" s="1"/>
  <c r="F38" i="16" s="1"/>
  <c r="F40" i="16" s="1"/>
  <c r="F42" i="16" s="1"/>
  <c r="G18" i="3"/>
  <c r="F4" i="5" l="1"/>
  <c r="E30" i="3"/>
  <c r="E32" i="3"/>
  <c r="F27" i="3"/>
  <c r="G27" i="3"/>
  <c r="E31" i="3" l="1"/>
  <c r="C24" i="2"/>
  <c r="B73" i="5"/>
  <c r="B14" i="5" s="1"/>
  <c r="E73" i="5"/>
  <c r="B15" i="5" l="1"/>
  <c r="C14" i="5"/>
  <c r="D14" i="5" s="1"/>
  <c r="F14" i="5"/>
  <c r="G14" i="5" l="1"/>
  <c r="A14" i="5"/>
  <c r="C15" i="5"/>
  <c r="D15" i="5" s="1"/>
  <c r="B16" i="5"/>
  <c r="F15" i="5"/>
  <c r="A15" i="5" l="1"/>
  <c r="G15" i="5"/>
  <c r="B17" i="5"/>
  <c r="C16" i="5"/>
  <c r="D16" i="5" s="1"/>
  <c r="F16" i="5"/>
  <c r="K14" i="5"/>
  <c r="H14" i="5"/>
  <c r="L14" i="5" s="1"/>
  <c r="I14" i="5" s="1"/>
  <c r="E14" i="5" s="1"/>
  <c r="J14" i="5" l="1"/>
  <c r="C17" i="5"/>
  <c r="D17" i="5" s="1"/>
  <c r="B18" i="5"/>
  <c r="F17" i="5"/>
  <c r="K15" i="5"/>
  <c r="H15" i="5"/>
  <c r="L15" i="5" s="1"/>
  <c r="I15" i="5" s="1"/>
  <c r="E15" i="5" s="1"/>
  <c r="G16" i="5"/>
  <c r="A16" i="5"/>
  <c r="B19" i="5" l="1"/>
  <c r="C18" i="5"/>
  <c r="D18" i="5" s="1"/>
  <c r="F18" i="5"/>
  <c r="A17" i="5"/>
  <c r="G17" i="5"/>
  <c r="K16" i="5"/>
  <c r="H16" i="5"/>
  <c r="L16" i="5" s="1"/>
  <c r="I16" i="5" s="1"/>
  <c r="E16" i="5" s="1"/>
  <c r="J15" i="5"/>
  <c r="J16" i="5" l="1"/>
  <c r="K17" i="5"/>
  <c r="H17" i="5"/>
  <c r="L17" i="5" s="1"/>
  <c r="I17" i="5" s="1"/>
  <c r="E17" i="5" s="1"/>
  <c r="G18" i="5"/>
  <c r="A18" i="5"/>
  <c r="C19" i="5"/>
  <c r="D19" i="5" s="1"/>
  <c r="B20" i="5"/>
  <c r="F19" i="5"/>
  <c r="A19" i="5" l="1"/>
  <c r="G19" i="5"/>
  <c r="J17" i="5"/>
  <c r="K18" i="5"/>
  <c r="H18" i="5"/>
  <c r="L18" i="5" s="1"/>
  <c r="I18" i="5" s="1"/>
  <c r="E18" i="5" s="1"/>
  <c r="B21" i="5"/>
  <c r="C20" i="5"/>
  <c r="D20" i="5" s="1"/>
  <c r="F20" i="5"/>
  <c r="G20" i="5" l="1"/>
  <c r="A20" i="5"/>
  <c r="C21" i="5"/>
  <c r="D21" i="5" s="1"/>
  <c r="B22" i="5"/>
  <c r="F21" i="5"/>
  <c r="J18" i="5"/>
  <c r="K19" i="5"/>
  <c r="H19" i="5"/>
  <c r="L19" i="5" s="1"/>
  <c r="I19" i="5" s="1"/>
  <c r="E19" i="5" s="1"/>
  <c r="K20" i="5" l="1"/>
  <c r="H20" i="5"/>
  <c r="L20" i="5" s="1"/>
  <c r="I20" i="5" s="1"/>
  <c r="E20" i="5" s="1"/>
  <c r="J19" i="5"/>
  <c r="A21" i="5"/>
  <c r="G21" i="5"/>
  <c r="B23" i="5"/>
  <c r="C22" i="5"/>
  <c r="D22" i="5" s="1"/>
  <c r="F22" i="5"/>
  <c r="G22" i="5" l="1"/>
  <c r="A22" i="5"/>
  <c r="J20" i="5"/>
  <c r="C23" i="5"/>
  <c r="D23" i="5" s="1"/>
  <c r="B24" i="5"/>
  <c r="F23" i="5"/>
  <c r="K21" i="5"/>
  <c r="H21" i="5"/>
  <c r="L21" i="5" s="1"/>
  <c r="I21" i="5" s="1"/>
  <c r="E21" i="5" s="1"/>
  <c r="J21" i="5" l="1"/>
  <c r="A23" i="5"/>
  <c r="G23" i="5"/>
  <c r="B25" i="5"/>
  <c r="C24" i="5"/>
  <c r="D24" i="5" s="1"/>
  <c r="F24" i="5"/>
  <c r="K22" i="5"/>
  <c r="H22" i="5"/>
  <c r="L22" i="5" s="1"/>
  <c r="I22" i="5" s="1"/>
  <c r="E22" i="5" s="1"/>
  <c r="G24" i="5" l="1"/>
  <c r="A24" i="5"/>
  <c r="C25" i="5"/>
  <c r="D25" i="5" s="1"/>
  <c r="B26" i="5"/>
  <c r="F25" i="5"/>
  <c r="J22" i="5"/>
  <c r="K23" i="5"/>
  <c r="H23" i="5"/>
  <c r="L23" i="5" s="1"/>
  <c r="I23" i="5" s="1"/>
  <c r="E23" i="5" s="1"/>
  <c r="J23" i="5" l="1"/>
  <c r="K24" i="5"/>
  <c r="H24" i="5"/>
  <c r="L24" i="5" s="1"/>
  <c r="I24" i="5" s="1"/>
  <c r="E24" i="5" s="1"/>
  <c r="A25" i="5"/>
  <c r="G25" i="5"/>
  <c r="B27" i="5"/>
  <c r="C26" i="5"/>
  <c r="D26" i="5" s="1"/>
  <c r="F26" i="5"/>
  <c r="C27" i="5" l="1"/>
  <c r="D27" i="5" s="1"/>
  <c r="B28" i="5"/>
  <c r="F27" i="5"/>
  <c r="J24" i="5"/>
  <c r="G26" i="5"/>
  <c r="A26" i="5"/>
  <c r="K25" i="5"/>
  <c r="H25" i="5"/>
  <c r="L25" i="5" s="1"/>
  <c r="I25" i="5" s="1"/>
  <c r="E25" i="5" s="1"/>
  <c r="J25" i="5" l="1"/>
  <c r="B29" i="5"/>
  <c r="C28" i="5"/>
  <c r="D28" i="5" s="1"/>
  <c r="F28" i="5"/>
  <c r="K26" i="5"/>
  <c r="H26" i="5"/>
  <c r="L26" i="5" s="1"/>
  <c r="I26" i="5" s="1"/>
  <c r="E26" i="5" s="1"/>
  <c r="A27" i="5"/>
  <c r="G27" i="5"/>
  <c r="J27" i="5" l="1"/>
  <c r="K27" i="5"/>
  <c r="H27" i="5"/>
  <c r="L27" i="5" s="1"/>
  <c r="I27" i="5" s="1"/>
  <c r="E27" i="5" s="1"/>
  <c r="G28" i="5"/>
  <c r="A28" i="5"/>
  <c r="C29" i="5"/>
  <c r="D29" i="5" s="1"/>
  <c r="B30" i="5"/>
  <c r="F29" i="5"/>
  <c r="J26" i="5"/>
  <c r="A29" i="5" l="1"/>
  <c r="G29" i="5"/>
  <c r="B31" i="5"/>
  <c r="C30" i="5"/>
  <c r="D30" i="5" s="1"/>
  <c r="F30" i="5"/>
  <c r="K28" i="5"/>
  <c r="H28" i="5"/>
  <c r="L28" i="5" s="1"/>
  <c r="I28" i="5" s="1"/>
  <c r="E28" i="5" s="1"/>
  <c r="J28" i="5" l="1"/>
  <c r="K29" i="5"/>
  <c r="H29" i="5"/>
  <c r="L29" i="5" s="1"/>
  <c r="I29" i="5" s="1"/>
  <c r="E29" i="5" s="1"/>
  <c r="G30" i="5"/>
  <c r="A30" i="5"/>
  <c r="C31" i="5"/>
  <c r="D31" i="5" s="1"/>
  <c r="B32" i="5"/>
  <c r="F31" i="5"/>
  <c r="B33" i="5" l="1"/>
  <c r="C32" i="5"/>
  <c r="D32" i="5" s="1"/>
  <c r="F32" i="5"/>
  <c r="K30" i="5"/>
  <c r="H30" i="5"/>
  <c r="L30" i="5" s="1"/>
  <c r="I30" i="5" s="1"/>
  <c r="E30" i="5" s="1"/>
  <c r="J29" i="5"/>
  <c r="A31" i="5"/>
  <c r="G31" i="5"/>
  <c r="J30" i="5" l="1"/>
  <c r="G32" i="5"/>
  <c r="A32" i="5"/>
  <c r="K31" i="5"/>
  <c r="H31" i="5"/>
  <c r="L31" i="5" s="1"/>
  <c r="I31" i="5" s="1"/>
  <c r="E31" i="5" s="1"/>
  <c r="C33" i="5"/>
  <c r="D33" i="5" s="1"/>
  <c r="B34" i="5"/>
  <c r="F33" i="5"/>
  <c r="A33" i="5" l="1"/>
  <c r="G33" i="5"/>
  <c r="B35" i="5"/>
  <c r="C34" i="5"/>
  <c r="D34" i="5" s="1"/>
  <c r="F34" i="5"/>
  <c r="J31" i="5"/>
  <c r="J32" i="5"/>
  <c r="K32" i="5"/>
  <c r="H32" i="5"/>
  <c r="L32" i="5" s="1"/>
  <c r="I32" i="5" s="1"/>
  <c r="E32" i="5" s="1"/>
  <c r="G34" i="5" l="1"/>
  <c r="A34" i="5"/>
  <c r="C35" i="5"/>
  <c r="D35" i="5" s="1"/>
  <c r="B36" i="5"/>
  <c r="F35" i="5"/>
  <c r="K33" i="5"/>
  <c r="H33" i="5"/>
  <c r="L33" i="5" s="1"/>
  <c r="I33" i="5" s="1"/>
  <c r="E33" i="5" s="1"/>
  <c r="A35" i="5" l="1"/>
  <c r="G35" i="5"/>
  <c r="K34" i="5"/>
  <c r="H34" i="5"/>
  <c r="L34" i="5" s="1"/>
  <c r="I34" i="5" s="1"/>
  <c r="E34" i="5" s="1"/>
  <c r="J33" i="5"/>
  <c r="B37" i="5"/>
  <c r="C36" i="5"/>
  <c r="D36" i="5" s="1"/>
  <c r="F36" i="5"/>
  <c r="C37" i="5" l="1"/>
  <c r="D37" i="5" s="1"/>
  <c r="B38" i="5"/>
  <c r="F37" i="5"/>
  <c r="G36" i="5"/>
  <c r="A36" i="5"/>
  <c r="J34" i="5"/>
  <c r="K35" i="5"/>
  <c r="H35" i="5"/>
  <c r="L35" i="5" s="1"/>
  <c r="I35" i="5" s="1"/>
  <c r="E35" i="5" s="1"/>
  <c r="J35" i="5" l="1"/>
  <c r="K36" i="5"/>
  <c r="H36" i="5"/>
  <c r="L36" i="5" s="1"/>
  <c r="I36" i="5" s="1"/>
  <c r="E36" i="5" s="1"/>
  <c r="A37" i="5"/>
  <c r="G37" i="5"/>
  <c r="B39" i="5"/>
  <c r="C38" i="5"/>
  <c r="D38" i="5" s="1"/>
  <c r="F38" i="5"/>
  <c r="G38" i="5" l="1"/>
  <c r="A38" i="5"/>
  <c r="C39" i="5"/>
  <c r="D39" i="5" s="1"/>
  <c r="B40" i="5"/>
  <c r="F39" i="5"/>
  <c r="K37" i="5"/>
  <c r="H37" i="5"/>
  <c r="L37" i="5" s="1"/>
  <c r="I37" i="5" s="1"/>
  <c r="E37" i="5" s="1"/>
  <c r="J36" i="5"/>
  <c r="J38" i="5" l="1"/>
  <c r="K38" i="5"/>
  <c r="H38" i="5"/>
  <c r="L38" i="5" s="1"/>
  <c r="I38" i="5" s="1"/>
  <c r="E38" i="5" s="1"/>
  <c r="J37" i="5"/>
  <c r="A39" i="5"/>
  <c r="G39" i="5"/>
  <c r="B41" i="5"/>
  <c r="C40" i="5"/>
  <c r="D40" i="5" s="1"/>
  <c r="F40" i="5"/>
  <c r="C41" i="5" l="1"/>
  <c r="D41" i="5" s="1"/>
  <c r="B42" i="5"/>
  <c r="F41" i="5"/>
  <c r="K39" i="5"/>
  <c r="H39" i="5"/>
  <c r="L39" i="5" s="1"/>
  <c r="I39" i="5" s="1"/>
  <c r="E39" i="5" s="1"/>
  <c r="G40" i="5"/>
  <c r="A40" i="5"/>
  <c r="K40" i="5" l="1"/>
  <c r="H40" i="5"/>
  <c r="L40" i="5" s="1"/>
  <c r="I40" i="5" s="1"/>
  <c r="E40" i="5" s="1"/>
  <c r="A41" i="5"/>
  <c r="G41" i="5"/>
  <c r="J39" i="5"/>
  <c r="B43" i="5"/>
  <c r="C42" i="5"/>
  <c r="D42" i="5" s="1"/>
  <c r="F42" i="5"/>
  <c r="J41" i="5" l="1"/>
  <c r="K41" i="5"/>
  <c r="H41" i="5"/>
  <c r="L41" i="5" s="1"/>
  <c r="I41" i="5" s="1"/>
  <c r="E41" i="5" s="1"/>
  <c r="C43" i="5"/>
  <c r="D43" i="5" s="1"/>
  <c r="B44" i="5"/>
  <c r="F43" i="5"/>
  <c r="G42" i="5"/>
  <c r="A42" i="5"/>
  <c r="J40" i="5"/>
  <c r="A43" i="5" l="1"/>
  <c r="G43" i="5"/>
  <c r="K42" i="5"/>
  <c r="H42" i="5"/>
  <c r="L42" i="5" s="1"/>
  <c r="I42" i="5" s="1"/>
  <c r="E42" i="5" s="1"/>
  <c r="B45" i="5"/>
  <c r="C44" i="5"/>
  <c r="D44" i="5" s="1"/>
  <c r="F44" i="5"/>
  <c r="G44" i="5" l="1"/>
  <c r="A44" i="5"/>
  <c r="J42" i="5"/>
  <c r="C45" i="5"/>
  <c r="D45" i="5" s="1"/>
  <c r="B46" i="5"/>
  <c r="F45" i="5"/>
  <c r="K43" i="5"/>
  <c r="H43" i="5"/>
  <c r="L43" i="5" s="1"/>
  <c r="I43" i="5" s="1"/>
  <c r="E43" i="5" s="1"/>
  <c r="J43" i="5" l="1"/>
  <c r="A45" i="5"/>
  <c r="G45" i="5"/>
  <c r="B47" i="5"/>
  <c r="C46" i="5"/>
  <c r="D46" i="5" s="1"/>
  <c r="F46" i="5"/>
  <c r="J44" i="5"/>
  <c r="K44" i="5"/>
  <c r="H44" i="5"/>
  <c r="L44" i="5" s="1"/>
  <c r="I44" i="5" s="1"/>
  <c r="E44" i="5" s="1"/>
  <c r="G46" i="5" l="1"/>
  <c r="A46" i="5"/>
  <c r="C47" i="5"/>
  <c r="D47" i="5" s="1"/>
  <c r="B48" i="5"/>
  <c r="F47" i="5"/>
  <c r="K45" i="5"/>
  <c r="H45" i="5"/>
  <c r="L45" i="5" s="1"/>
  <c r="I45" i="5" s="1"/>
  <c r="E45" i="5" s="1"/>
  <c r="J45" i="5" l="1"/>
  <c r="B49" i="5"/>
  <c r="C48" i="5"/>
  <c r="D48" i="5" s="1"/>
  <c r="F48" i="5"/>
  <c r="A47" i="5"/>
  <c r="G47" i="5"/>
  <c r="J46" i="5"/>
  <c r="K46" i="5"/>
  <c r="H46" i="5"/>
  <c r="L46" i="5" s="1"/>
  <c r="I46" i="5" s="1"/>
  <c r="E46" i="5" s="1"/>
  <c r="G48" i="5" l="1"/>
  <c r="A48" i="5"/>
  <c r="K47" i="5"/>
  <c r="H47" i="5"/>
  <c r="L47" i="5" s="1"/>
  <c r="I47" i="5" s="1"/>
  <c r="E47" i="5" s="1"/>
  <c r="C49" i="5"/>
  <c r="D49" i="5" s="1"/>
  <c r="B50" i="5"/>
  <c r="F49" i="5"/>
  <c r="B51" i="5" l="1"/>
  <c r="C50" i="5"/>
  <c r="D50" i="5" s="1"/>
  <c r="F50" i="5"/>
  <c r="J47" i="5"/>
  <c r="A49" i="5"/>
  <c r="G49" i="5"/>
  <c r="K48" i="5"/>
  <c r="H48" i="5"/>
  <c r="L48" i="5" s="1"/>
  <c r="I48" i="5" s="1"/>
  <c r="E48" i="5" s="1"/>
  <c r="J48" i="5" l="1"/>
  <c r="K49" i="5"/>
  <c r="H49" i="5"/>
  <c r="L49" i="5" s="1"/>
  <c r="I49" i="5" s="1"/>
  <c r="E49" i="5" s="1"/>
  <c r="G50" i="5"/>
  <c r="A50" i="5"/>
  <c r="C51" i="5"/>
  <c r="D51" i="5" s="1"/>
  <c r="B52" i="5"/>
  <c r="F51" i="5"/>
  <c r="K50" i="5" l="1"/>
  <c r="H50" i="5"/>
  <c r="L50" i="5" s="1"/>
  <c r="I50" i="5" s="1"/>
  <c r="E50" i="5" s="1"/>
  <c r="A51" i="5"/>
  <c r="G51" i="5"/>
  <c r="J49" i="5"/>
  <c r="B53" i="5"/>
  <c r="C52" i="5"/>
  <c r="D52" i="5" s="1"/>
  <c r="F52" i="5"/>
  <c r="C53" i="5" l="1"/>
  <c r="D53" i="5" s="1"/>
  <c r="B54" i="5"/>
  <c r="F53" i="5"/>
  <c r="K51" i="5"/>
  <c r="H51" i="5"/>
  <c r="L51" i="5" s="1"/>
  <c r="I51" i="5" s="1"/>
  <c r="E51" i="5" s="1"/>
  <c r="G52" i="5"/>
  <c r="A52" i="5"/>
  <c r="J50" i="5"/>
  <c r="K52" i="5" l="1"/>
  <c r="H52" i="5"/>
  <c r="L52" i="5" s="1"/>
  <c r="I52" i="5" s="1"/>
  <c r="E52" i="5" s="1"/>
  <c r="A53" i="5"/>
  <c r="G53" i="5"/>
  <c r="J51" i="5"/>
  <c r="B55" i="5"/>
  <c r="C54" i="5"/>
  <c r="D54" i="5" s="1"/>
  <c r="F54" i="5"/>
  <c r="C55" i="5" l="1"/>
  <c r="D55" i="5" s="1"/>
  <c r="B56" i="5"/>
  <c r="F55" i="5"/>
  <c r="K53" i="5"/>
  <c r="H53" i="5"/>
  <c r="L53" i="5" s="1"/>
  <c r="I53" i="5" s="1"/>
  <c r="E53" i="5" s="1"/>
  <c r="G54" i="5"/>
  <c r="A54" i="5"/>
  <c r="J52" i="5"/>
  <c r="J53" i="5" l="1"/>
  <c r="B57" i="5"/>
  <c r="C56" i="5"/>
  <c r="D56" i="5" s="1"/>
  <c r="F56" i="5"/>
  <c r="K54" i="5"/>
  <c r="H54" i="5"/>
  <c r="L54" i="5" s="1"/>
  <c r="I54" i="5" s="1"/>
  <c r="E54" i="5" s="1"/>
  <c r="A55" i="5"/>
  <c r="G55" i="5"/>
  <c r="J54" i="5" l="1"/>
  <c r="C57" i="5"/>
  <c r="D57" i="5" s="1"/>
  <c r="B58" i="5"/>
  <c r="F57" i="5"/>
  <c r="G56" i="5"/>
  <c r="A56" i="5"/>
  <c r="K55" i="5"/>
  <c r="H55" i="5"/>
  <c r="L55" i="5" s="1"/>
  <c r="I55" i="5" s="1"/>
  <c r="E55" i="5" s="1"/>
  <c r="J55" i="5" l="1"/>
  <c r="K56" i="5"/>
  <c r="H56" i="5"/>
  <c r="L56" i="5" s="1"/>
  <c r="I56" i="5" s="1"/>
  <c r="E56" i="5" s="1"/>
  <c r="A57" i="5"/>
  <c r="G57" i="5"/>
  <c r="B59" i="5"/>
  <c r="C58" i="5"/>
  <c r="D58" i="5" s="1"/>
  <c r="F58" i="5"/>
  <c r="C59" i="5" l="1"/>
  <c r="D59" i="5" s="1"/>
  <c r="B60" i="5"/>
  <c r="F59" i="5"/>
  <c r="K57" i="5"/>
  <c r="H57" i="5"/>
  <c r="L57" i="5" s="1"/>
  <c r="I57" i="5" s="1"/>
  <c r="E57" i="5" s="1"/>
  <c r="G58" i="5"/>
  <c r="A58" i="5"/>
  <c r="J56" i="5"/>
  <c r="K58" i="5" l="1"/>
  <c r="H58" i="5"/>
  <c r="L58" i="5" s="1"/>
  <c r="I58" i="5" s="1"/>
  <c r="E58" i="5" s="1"/>
  <c r="A59" i="5"/>
  <c r="G59" i="5"/>
  <c r="J57" i="5"/>
  <c r="B61" i="5"/>
  <c r="C60" i="5"/>
  <c r="D60" i="5" s="1"/>
  <c r="F60" i="5"/>
  <c r="C61" i="5" l="1"/>
  <c r="D61" i="5" s="1"/>
  <c r="B62" i="5"/>
  <c r="F61" i="5"/>
  <c r="K59" i="5"/>
  <c r="H59" i="5"/>
  <c r="L59" i="5" s="1"/>
  <c r="I59" i="5" s="1"/>
  <c r="E59" i="5" s="1"/>
  <c r="G60" i="5"/>
  <c r="A60" i="5"/>
  <c r="J58" i="5"/>
  <c r="K60" i="5" l="1"/>
  <c r="H60" i="5"/>
  <c r="L60" i="5" s="1"/>
  <c r="I60" i="5" s="1"/>
  <c r="E60" i="5" s="1"/>
  <c r="A61" i="5"/>
  <c r="G61" i="5"/>
  <c r="B63" i="5"/>
  <c r="C62" i="5"/>
  <c r="D62" i="5" s="1"/>
  <c r="F62" i="5"/>
  <c r="J59" i="5"/>
  <c r="G62" i="5" l="1"/>
  <c r="A62" i="5"/>
  <c r="C63" i="5"/>
  <c r="D63" i="5" s="1"/>
  <c r="B64" i="5"/>
  <c r="F63" i="5"/>
  <c r="K61" i="5"/>
  <c r="H61" i="5"/>
  <c r="L61" i="5" s="1"/>
  <c r="I61" i="5" s="1"/>
  <c r="E61" i="5" s="1"/>
  <c r="J60" i="5"/>
  <c r="A63" i="5" l="1"/>
  <c r="G63" i="5"/>
  <c r="J61" i="5"/>
  <c r="B65" i="5"/>
  <c r="C64" i="5"/>
  <c r="D64" i="5" s="1"/>
  <c r="F64" i="5"/>
  <c r="H62" i="5"/>
  <c r="L62" i="5" s="1"/>
  <c r="I62" i="5" s="1"/>
  <c r="E62" i="5" s="1"/>
  <c r="K62" i="5"/>
  <c r="G64" i="5" l="1"/>
  <c r="A64" i="5"/>
  <c r="J62" i="5"/>
  <c r="C65" i="5"/>
  <c r="D65" i="5" s="1"/>
  <c r="B66" i="5"/>
  <c r="F65" i="5"/>
  <c r="J63" i="5"/>
  <c r="K63" i="5"/>
  <c r="H63" i="5"/>
  <c r="L63" i="5" s="1"/>
  <c r="I63" i="5" s="1"/>
  <c r="E63" i="5" s="1"/>
  <c r="A65" i="5" l="1"/>
  <c r="G65" i="5"/>
  <c r="B67" i="5"/>
  <c r="C66" i="5"/>
  <c r="D66" i="5" s="1"/>
  <c r="F66" i="5"/>
  <c r="K64" i="5"/>
  <c r="H64" i="5"/>
  <c r="L64" i="5" s="1"/>
  <c r="I64" i="5" s="1"/>
  <c r="E64" i="5" s="1"/>
  <c r="J64" i="5" l="1"/>
  <c r="G66" i="5"/>
  <c r="A66" i="5"/>
  <c r="C67" i="5"/>
  <c r="D67" i="5" s="1"/>
  <c r="B68" i="5"/>
  <c r="F67" i="5"/>
  <c r="K65" i="5"/>
  <c r="H65" i="5"/>
  <c r="L65" i="5" s="1"/>
  <c r="I65" i="5" s="1"/>
  <c r="E65" i="5" s="1"/>
  <c r="B69" i="5" l="1"/>
  <c r="C68" i="5"/>
  <c r="D68" i="5" s="1"/>
  <c r="F68" i="5"/>
  <c r="A67" i="5"/>
  <c r="G67" i="5"/>
  <c r="K66" i="5"/>
  <c r="H66" i="5"/>
  <c r="L66" i="5" s="1"/>
  <c r="I66" i="5" s="1"/>
  <c r="E66" i="5" s="1"/>
  <c r="J65" i="5"/>
  <c r="K67" i="5" l="1"/>
  <c r="H67" i="5"/>
  <c r="L67" i="5" s="1"/>
  <c r="I67" i="5" s="1"/>
  <c r="E67" i="5" s="1"/>
  <c r="J66" i="5"/>
  <c r="A68" i="5"/>
  <c r="G68" i="5"/>
  <c r="C69" i="5"/>
  <c r="D69" i="5" s="1"/>
  <c r="B70" i="5"/>
  <c r="F69" i="5"/>
  <c r="K68" i="5" l="1"/>
  <c r="H68" i="5"/>
  <c r="L68" i="5" s="1"/>
  <c r="I68" i="5" s="1"/>
  <c r="E68" i="5" s="1"/>
  <c r="A69" i="5"/>
  <c r="G69" i="5"/>
  <c r="C70" i="5"/>
  <c r="D70" i="5" s="1"/>
  <c r="F70" i="5"/>
  <c r="J67" i="5"/>
  <c r="G70" i="5" l="1"/>
  <c r="A70" i="5"/>
  <c r="K69" i="5"/>
  <c r="H69" i="5"/>
  <c r="L69" i="5" s="1"/>
  <c r="I69" i="5" s="1"/>
  <c r="E69" i="5" s="1"/>
  <c r="J68" i="5"/>
  <c r="J69" i="5" l="1"/>
  <c r="K70" i="5"/>
  <c r="H70" i="5"/>
  <c r="L70" i="5" s="1"/>
  <c r="I70" i="5" s="1"/>
  <c r="E70" i="5" s="1"/>
  <c r="J70" i="5" l="1"/>
</calcChain>
</file>

<file path=xl/sharedStrings.xml><?xml version="1.0" encoding="utf-8"?>
<sst xmlns="http://schemas.openxmlformats.org/spreadsheetml/2006/main" count="279" uniqueCount="177">
  <si>
    <t>Projekt:</t>
  </si>
  <si>
    <t>Ermittlung der</t>
  </si>
  <si>
    <t>maximalen</t>
  </si>
  <si>
    <t>Jahres-Aktivitäts-Zufuhr</t>
  </si>
  <si>
    <t>Therapie</t>
  </si>
  <si>
    <t>hoch</t>
  </si>
  <si>
    <t>niedrig</t>
  </si>
  <si>
    <t>Aktivität</t>
  </si>
  <si>
    <t>mCi</t>
  </si>
  <si>
    <t>Bq</t>
  </si>
  <si>
    <t>Liegezeit</t>
  </si>
  <si>
    <t>Tage</t>
  </si>
  <si>
    <t>Station</t>
  </si>
  <si>
    <t>Patienten</t>
  </si>
  <si>
    <t>pro Jahr</t>
  </si>
  <si>
    <t>Gesamt/a</t>
  </si>
  <si>
    <t>Abwassermengen</t>
  </si>
  <si>
    <t>Sanitärobjekt</t>
  </si>
  <si>
    <t>Abwasser</t>
  </si>
  <si>
    <t>Nutzungs-</t>
  </si>
  <si>
    <t>Abwasser-</t>
  </si>
  <si>
    <t>Volumen</t>
  </si>
  <si>
    <t>frequenz</t>
  </si>
  <si>
    <t>Anzahl</t>
  </si>
  <si>
    <t>pro</t>
  </si>
  <si>
    <t>je Nutzung</t>
  </si>
  <si>
    <t>pro Tag</t>
  </si>
  <si>
    <t>Patient</t>
  </si>
  <si>
    <t>l</t>
  </si>
  <si>
    <t>Liter</t>
  </si>
  <si>
    <t>Toilette</t>
  </si>
  <si>
    <t>Steckbecken</t>
  </si>
  <si>
    <t>(Fäkalspüler)</t>
  </si>
  <si>
    <t>Waschbecken</t>
  </si>
  <si>
    <t>2,5 l/min</t>
  </si>
  <si>
    <t>Duschen</t>
  </si>
  <si>
    <t>2,5 min; 6 l/min</t>
  </si>
  <si>
    <t>Zw.Summe</t>
  </si>
  <si>
    <t>Toi. Diagnostik</t>
  </si>
  <si>
    <t>Fassungsvermögen</t>
  </si>
  <si>
    <t>(Patienten)</t>
  </si>
  <si>
    <t>Spülmaschine</t>
  </si>
  <si>
    <t>Waschmaschine</t>
  </si>
  <si>
    <t>Schmutzwasser</t>
  </si>
  <si>
    <t>Summe</t>
  </si>
  <si>
    <t>(c) DAMP</t>
  </si>
  <si>
    <t>tmin</t>
  </si>
  <si>
    <t>Akt/a</t>
  </si>
  <si>
    <t>Bq/a</t>
  </si>
  <si>
    <t>Akt/d</t>
  </si>
  <si>
    <t>Bq/d</t>
  </si>
  <si>
    <t>Zulauf</t>
  </si>
  <si>
    <t>m³/d</t>
  </si>
  <si>
    <t>Nuklid</t>
  </si>
  <si>
    <t>J-131</t>
  </si>
  <si>
    <t>Fgrad=</t>
  </si>
  <si>
    <t>HWZ</t>
  </si>
  <si>
    <t>d</t>
  </si>
  <si>
    <t>Grenzwert</t>
  </si>
  <si>
    <t>Bq/m³</t>
  </si>
  <si>
    <t>Waschwasser-Wiederverwendung:</t>
  </si>
  <si>
    <t>nein</t>
  </si>
  <si>
    <t>Abklingzeit [Tagen]:</t>
  </si>
  <si>
    <t>Behälter</t>
  </si>
  <si>
    <t>Anlagen</t>
  </si>
  <si>
    <t>dA</t>
  </si>
  <si>
    <t>Füllzeit</t>
  </si>
  <si>
    <t>Akt.Konz.</t>
  </si>
  <si>
    <t>Ableit-</t>
  </si>
  <si>
    <t>m³</t>
  </si>
  <si>
    <t>Stck</t>
  </si>
  <si>
    <t>Faktor</t>
  </si>
  <si>
    <t>(Netto)</t>
  </si>
  <si>
    <t>(Brutto)</t>
  </si>
  <si>
    <t>ln(2)/HWZ=</t>
  </si>
  <si>
    <t>dt=</t>
  </si>
  <si>
    <t>dV=</t>
  </si>
  <si>
    <t xml:space="preserve"> </t>
  </si>
  <si>
    <t>m</t>
  </si>
  <si>
    <t>[Tage]</t>
  </si>
  <si>
    <t>Tankvolumen</t>
  </si>
  <si>
    <t>Standzeit</t>
  </si>
  <si>
    <t>Abschätzung der Abluftkonzentration</t>
  </si>
  <si>
    <t>bei therapeutischer Anwendung</t>
  </si>
  <si>
    <t>radioaktiver Stoffe</t>
  </si>
  <si>
    <t>Nuklid:</t>
  </si>
  <si>
    <t>Grenzwert:</t>
  </si>
  <si>
    <t>Aufenthalt</t>
  </si>
  <si>
    <t>Ausscheidungsrate</t>
  </si>
  <si>
    <t>Luftwechsel</t>
  </si>
  <si>
    <t>Zimmer</t>
  </si>
  <si>
    <t>Fläche</t>
  </si>
  <si>
    <t>Höhe</t>
  </si>
  <si>
    <t>Rate</t>
  </si>
  <si>
    <t>HochTher</t>
  </si>
  <si>
    <t>niedrigTher</t>
  </si>
  <si>
    <r>
      <t>m</t>
    </r>
    <r>
      <rPr>
        <b/>
        <vertAlign val="superscript"/>
        <sz val="10"/>
        <rFont val="MS Sans Serif"/>
      </rPr>
      <t>2</t>
    </r>
  </si>
  <si>
    <t>m³/h</t>
  </si>
  <si>
    <t>Gesamt:</t>
  </si>
  <si>
    <t>abgeatmet:</t>
  </si>
  <si>
    <t>Bq/h</t>
  </si>
  <si>
    <t>sonstige Abluft-Volumina (inaktiv)</t>
  </si>
  <si>
    <t>ABKLNG</t>
  </si>
  <si>
    <t>Luftwechsel pro Stunde:</t>
  </si>
  <si>
    <t>Aktivitätskonzentration (resultierend):</t>
  </si>
  <si>
    <t>TANK</t>
  </si>
  <si>
    <t>(netto)</t>
  </si>
  <si>
    <t>m^3</t>
  </si>
  <si>
    <t>Nuklide</t>
  </si>
  <si>
    <t>Bq/m^3</t>
  </si>
  <si>
    <t>Aktivität nach Füllzeit</t>
  </si>
  <si>
    <t>Anlagenteil 1</t>
  </si>
  <si>
    <t>Radio-jod</t>
  </si>
  <si>
    <t>Anlagenteil 2</t>
  </si>
  <si>
    <t>Reserve (Radio-jod), PET, langlebige</t>
  </si>
  <si>
    <t>je nach Einsatz</t>
  </si>
  <si>
    <t>Nuklearmedizin</t>
  </si>
  <si>
    <t>Kombinierte Abklinganlage</t>
  </si>
  <si>
    <t>O-15</t>
  </si>
  <si>
    <t>HWZ [d]</t>
  </si>
  <si>
    <t>Abwasser [m^3/d]</t>
  </si>
  <si>
    <t>Grenzwert [Bq/m^3]</t>
  </si>
  <si>
    <t>Aktivität [Bq/d]</t>
  </si>
  <si>
    <t xml:space="preserve">                  [Bq/m^3]</t>
  </si>
  <si>
    <t>C-11</t>
  </si>
  <si>
    <t>N-13</t>
  </si>
  <si>
    <t>F-18</t>
  </si>
  <si>
    <t>20,48 min</t>
  </si>
  <si>
    <t>9,97 min</t>
  </si>
  <si>
    <t>2,04 min</t>
  </si>
  <si>
    <t>1,83 h</t>
  </si>
  <si>
    <t>Sr-89</t>
  </si>
  <si>
    <t>-</t>
  </si>
  <si>
    <t>50,5 d</t>
  </si>
  <si>
    <t>14,29 d</t>
  </si>
  <si>
    <t>Y-90</t>
  </si>
  <si>
    <t>Sm-153</t>
  </si>
  <si>
    <t>P-32</t>
  </si>
  <si>
    <t>Re-186</t>
  </si>
  <si>
    <t>Er-169</t>
  </si>
  <si>
    <t>amb</t>
  </si>
  <si>
    <t>2,67 d</t>
  </si>
  <si>
    <t>1,93 d</t>
  </si>
  <si>
    <t>3,78 d</t>
  </si>
  <si>
    <t>9,3 d</t>
  </si>
  <si>
    <t>(J-131)</t>
  </si>
  <si>
    <t>erreicht:</t>
  </si>
  <si>
    <t>Sicherheit:</t>
  </si>
  <si>
    <t>Altersabhängige Werte der Schilddrüsenmasse, der</t>
  </si>
  <si>
    <t>effektiven Halbwertszeit und des Verteilungsfaktors</t>
  </si>
  <si>
    <t>von J-123 und J-131 in der Schilddrüse für die Bundesrepublik Deutschland</t>
  </si>
  <si>
    <t>"Dosimetrie in der Nuklearmedizinischen Diagnostik</t>
  </si>
  <si>
    <t>und Therapie sowie beim beruflichen Umgang</t>
  </si>
  <si>
    <t>mit offenen radioaktiven Stoffen"</t>
  </si>
  <si>
    <t>A.Kaul; K.Henrichs; H.D.Roedler</t>
  </si>
  <si>
    <t>Alter</t>
  </si>
  <si>
    <t>[a]</t>
  </si>
  <si>
    <t>SD-Masse</t>
  </si>
  <si>
    <t>[g]</t>
  </si>
  <si>
    <t>J-123</t>
  </si>
  <si>
    <t>Alpha sd</t>
  </si>
  <si>
    <t>Erwachsener</t>
  </si>
  <si>
    <t>(1-3 d alt)</t>
  </si>
  <si>
    <t>effektive HWZ [h]</t>
  </si>
  <si>
    <t>effektive HWZ [d]</t>
  </si>
  <si>
    <t>o,05 % für j-131 nach A.Kaul; ISH-Bericht 31; 1983</t>
  </si>
  <si>
    <t>bezogen auf eine 100 mCi-Therapie</t>
  </si>
  <si>
    <t>Pro Jahr</t>
  </si>
  <si>
    <t>qm^2</t>
  </si>
  <si>
    <t>Bq/Liter</t>
  </si>
  <si>
    <t>Bq/Tag</t>
  </si>
  <si>
    <t>Liter/h</t>
  </si>
  <si>
    <t>(15 h; 7 bis 22 Uhr)</t>
  </si>
  <si>
    <t>Fliessgeschw.</t>
  </si>
  <si>
    <t>m/s</t>
  </si>
  <si>
    <t>Projekt xXx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</si>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</sst>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4" formatCode="0.0"/>
    <numFmt numFmtId="175" formatCode="0.000"/>
    <numFmt numFmtId="176" formatCode="#,##0.0"/>
    <numFmt numFmtId="177" formatCode="General_)"/>
    <numFmt numFmtId="181" formatCode="0.0E+00"/>
    <numFmt numFmtId="189" formatCode="0E+00"/>
    <numFmt numFmtId="191" formatCode="0.0E+00;\魤"/>
    <numFmt numFmtId="192" formatCode="0.E+00"/>
  </numFmts>
  <fonts count="36" x14ac:knownFonts="1">
    <font>
      <sz val="10"/>
      <name val="MS Sans Serif"/>
    </font>
    <font>
      <b/>
      <sz val="10"/>
      <name val="MS Sans Serif"/>
    </font>
    <font>
      <i/>
      <sz val="10"/>
      <name val="MS Sans Serif"/>
    </font>
    <font>
      <b/>
      <i/>
      <sz val="10"/>
      <name val="MS Sans Serif"/>
    </font>
    <font>
      <sz val="10"/>
      <name val="MS Sans Serif"/>
    </font>
    <font>
      <b/>
      <sz val="11"/>
      <name val="MS Sans Serif"/>
    </font>
    <font>
      <sz val="10"/>
      <name val="Courier"/>
    </font>
    <font>
      <sz val="12"/>
      <name val="MS Sans Serif"/>
      <family val="2"/>
    </font>
    <font>
      <b/>
      <sz val="12"/>
      <name val="MS Sans Serif"/>
    </font>
    <font>
      <b/>
      <sz val="8"/>
      <name val="Univers (W1)"/>
      <family val="2"/>
    </font>
    <font>
      <b/>
      <sz val="12"/>
      <name val="MS Sans Serif"/>
      <family val="2"/>
    </font>
    <font>
      <sz val="8"/>
      <name val="MS Sans Serif"/>
    </font>
    <font>
      <b/>
      <sz val="14"/>
      <name val="MS Sans Serif"/>
      <family val="2"/>
    </font>
    <font>
      <b/>
      <sz val="13.5"/>
      <name val="MS Sans Serif"/>
      <family val="2"/>
    </font>
    <font>
      <sz val="13.5"/>
      <name val="MS Sans Serif"/>
      <family val="2"/>
    </font>
    <font>
      <b/>
      <vertAlign val="superscript"/>
      <sz val="10"/>
      <name val="MS Sans Serif"/>
    </font>
    <font>
      <sz val="8.5"/>
      <name val="MS Sans Serif"/>
      <family val="2"/>
    </font>
    <font>
      <b/>
      <sz val="14"/>
      <name val="Univers Condensed"/>
      <family val="2"/>
    </font>
    <font>
      <b/>
      <sz val="12"/>
      <name val="Univers Condensed"/>
      <family val="2"/>
    </font>
    <font>
      <b/>
      <sz val="11"/>
      <color indexed="18"/>
      <name val="Univers Condensed"/>
      <family val="2"/>
    </font>
    <font>
      <b/>
      <sz val="9.5"/>
      <color indexed="20"/>
      <name val="Univers Condensed"/>
      <family val="2"/>
    </font>
    <font>
      <b/>
      <sz val="10"/>
      <color indexed="18"/>
      <name val="Univers Condensed"/>
      <family val="2"/>
    </font>
    <font>
      <sz val="10"/>
      <color indexed="8"/>
      <name val="Univers Condensed"/>
      <family val="2"/>
    </font>
    <font>
      <b/>
      <sz val="10"/>
      <color indexed="8"/>
      <name val="Univers Condensed"/>
      <family val="2"/>
    </font>
    <font>
      <b/>
      <sz val="8"/>
      <color indexed="8"/>
      <name val="Univers Condensed"/>
      <family val="2"/>
    </font>
    <font>
      <b/>
      <sz val="10"/>
      <color indexed="18"/>
      <name val="Univers Condensed"/>
    </font>
    <font>
      <sz val="8"/>
      <name val="Univers Condensed"/>
      <family val="2"/>
    </font>
    <font>
      <b/>
      <sz val="16"/>
      <name val="Univers Condensed"/>
      <family val="2"/>
    </font>
    <font>
      <sz val="16"/>
      <name val="MS Sans Serif"/>
    </font>
    <font>
      <sz val="12"/>
      <name val="MS Sans Serif"/>
    </font>
    <font>
      <sz val="14"/>
      <name val="MS Sans Serif"/>
    </font>
    <font>
      <b/>
      <sz val="8"/>
      <name val="Univers Condensed"/>
      <family val="2"/>
    </font>
    <font>
      <b/>
      <sz val="8.5"/>
      <name val="MS Sans Serif"/>
      <family val="2"/>
    </font>
    <font>
      <b/>
      <sz val="10"/>
      <name val="MS Sans Serif"/>
      <family val="2"/>
    </font>
    <font>
      <b/>
      <sz val="18"/>
      <name val="MS Sans Serif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ont="1" applyFill="1" applyBorder="1" applyAlignment="1"/>
    <xf numFmtId="11" fontId="0" fillId="0" borderId="0" xfId="0" applyNumberFormat="1" applyFont="1" applyFill="1" applyBorder="1" applyAlignment="1"/>
    <xf numFmtId="0" fontId="0" fillId="0" borderId="3" xfId="0" applyFill="1" applyBorder="1" applyAlignment="1"/>
    <xf numFmtId="0" fontId="0" fillId="0" borderId="3" xfId="0" applyFont="1" applyFill="1" applyBorder="1" applyAlignment="1"/>
    <xf numFmtId="0" fontId="1" fillId="0" borderId="0" xfId="0" applyFont="1"/>
    <xf numFmtId="11" fontId="0" fillId="0" borderId="0" xfId="0" applyNumberFormat="1"/>
    <xf numFmtId="0" fontId="2" fillId="0" borderId="4" xfId="0" applyFont="1" applyFill="1" applyBorder="1" applyAlignment="1">
      <alignment horizontal="center"/>
    </xf>
    <xf numFmtId="11" fontId="3" fillId="0" borderId="4" xfId="0" applyNumberFormat="1" applyFont="1" applyFill="1" applyBorder="1" applyAlignment="1">
      <alignment horizontal="centerContinuous"/>
    </xf>
    <xf numFmtId="11" fontId="2" fillId="0" borderId="4" xfId="0" applyNumberFormat="1" applyFont="1" applyFill="1" applyBorder="1" applyAlignment="1">
      <alignment horizontal="centerContinuous"/>
    </xf>
    <xf numFmtId="0" fontId="0" fillId="0" borderId="5" xfId="0" applyFill="1" applyBorder="1" applyAlignment="1"/>
    <xf numFmtId="0" fontId="2" fillId="0" borderId="1" xfId="0" applyFont="1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11" fontId="0" fillId="0" borderId="9" xfId="0" applyNumberFormat="1" applyFont="1" applyFill="1" applyBorder="1" applyAlignment="1"/>
    <xf numFmtId="0" fontId="0" fillId="0" borderId="9" xfId="0" applyFont="1" applyFill="1" applyBorder="1" applyAlignment="1"/>
    <xf numFmtId="0" fontId="3" fillId="0" borderId="4" xfId="0" applyFont="1" applyFill="1" applyBorder="1" applyAlignment="1">
      <alignment horizontal="centerContinuous"/>
    </xf>
    <xf numFmtId="3" fontId="0" fillId="0" borderId="0" xfId="0" applyNumberFormat="1" applyFont="1" applyFill="1" applyBorder="1" applyAlignment="1"/>
    <xf numFmtId="11" fontId="0" fillId="0" borderId="3" xfId="0" applyNumberFormat="1" applyFont="1" applyFill="1" applyBorder="1" applyAlignment="1"/>
    <xf numFmtId="11" fontId="5" fillId="0" borderId="0" xfId="0" applyNumberFormat="1" applyFont="1" applyAlignment="1">
      <alignment horizontal="left"/>
    </xf>
    <xf numFmtId="11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175" fontId="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left"/>
    </xf>
    <xf numFmtId="17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" fontId="5" fillId="0" borderId="0" xfId="0" applyNumberFormat="1" applyFont="1" applyAlignment="1">
      <alignment horizontal="right"/>
    </xf>
    <xf numFmtId="11" fontId="1" fillId="0" borderId="0" xfId="0" applyNumberFormat="1" applyFont="1" applyAlignment="1">
      <alignment horizontal="left"/>
    </xf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Alignment="1">
      <alignment horizontal="centerContinuous"/>
    </xf>
    <xf numFmtId="4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Continuous"/>
    </xf>
    <xf numFmtId="174" fontId="0" fillId="0" borderId="0" xfId="0" applyNumberFormat="1" applyAlignment="1">
      <alignment horizontal="centerContinuous"/>
    </xf>
    <xf numFmtId="1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/>
    </xf>
    <xf numFmtId="4" fontId="1" fillId="0" borderId="0" xfId="0" applyNumberFormat="1" applyFont="1" applyAlignment="1">
      <alignment horizontal="center"/>
    </xf>
    <xf numFmtId="11" fontId="0" fillId="0" borderId="0" xfId="0" applyNumberFormat="1" applyAlignment="1">
      <alignment horizontal="right"/>
    </xf>
    <xf numFmtId="17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74" fontId="0" fillId="0" borderId="0" xfId="0" applyNumberFormat="1"/>
    <xf numFmtId="3" fontId="5" fillId="0" borderId="0" xfId="0" applyNumberFormat="1" applyFont="1" applyAlignment="1">
      <alignment horizontal="centerContinuous"/>
    </xf>
    <xf numFmtId="0" fontId="5" fillId="0" borderId="0" xfId="0" applyFont="1" applyAlignment="1"/>
    <xf numFmtId="3" fontId="5" fillId="0" borderId="0" xfId="0" applyNumberFormat="1" applyFont="1" applyAlignment="1"/>
    <xf numFmtId="0" fontId="1" fillId="0" borderId="0" xfId="0" applyFont="1" applyAlignment="1"/>
    <xf numFmtId="3" fontId="0" fillId="0" borderId="0" xfId="0" applyNumberFormat="1" applyAlignment="1"/>
    <xf numFmtId="3" fontId="0" fillId="0" borderId="0" xfId="0" applyNumberFormat="1" applyAlignment="1">
      <alignment horizontal="centerContinuous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3" fontId="1" fillId="0" borderId="0" xfId="0" applyNumberFormat="1" applyFont="1"/>
    <xf numFmtId="175" fontId="0" fillId="0" borderId="0" xfId="0" applyNumberFormat="1" applyAlignment="1">
      <alignment horizontal="center"/>
    </xf>
    <xf numFmtId="175" fontId="0" fillId="0" borderId="0" xfId="0" applyNumberFormat="1" applyAlignment="1">
      <alignment horizontal="centerContinuous"/>
    </xf>
    <xf numFmtId="11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4" fontId="7" fillId="0" borderId="0" xfId="0" applyNumberFormat="1" applyFont="1" applyAlignment="1">
      <alignment horizontal="centerContinuous"/>
    </xf>
    <xf numFmtId="174" fontId="7" fillId="0" borderId="0" xfId="0" applyNumberFormat="1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175" fontId="7" fillId="0" borderId="0" xfId="0" applyNumberFormat="1" applyFont="1" applyAlignment="1">
      <alignment horizontal="centerContinuous"/>
    </xf>
    <xf numFmtId="11" fontId="8" fillId="0" borderId="0" xfId="0" applyNumberFormat="1" applyFont="1" applyAlignment="1">
      <alignment horizontal="centerContinuous"/>
    </xf>
    <xf numFmtId="11" fontId="9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Continuous"/>
    </xf>
    <xf numFmtId="17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Continuous"/>
    </xf>
    <xf numFmtId="3" fontId="13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0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74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1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74" fontId="1" fillId="0" borderId="0" xfId="0" applyNumberFormat="1" applyFont="1" applyAlignment="1">
      <alignment horizontal="center"/>
    </xf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9" fillId="2" borderId="11" xfId="0" applyFont="1" applyFill="1" applyBorder="1" applyAlignment="1">
      <alignment horizontal="left"/>
    </xf>
    <xf numFmtId="0" fontId="20" fillId="2" borderId="12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center"/>
    </xf>
    <xf numFmtId="0" fontId="22" fillId="2" borderId="0" xfId="0" applyFont="1" applyFill="1" applyBorder="1" applyAlignment="1"/>
    <xf numFmtId="0" fontId="22" fillId="2" borderId="15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left"/>
    </xf>
    <xf numFmtId="0" fontId="22" fillId="2" borderId="16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176" fontId="22" fillId="2" borderId="0" xfId="0" applyNumberFormat="1" applyFont="1" applyFill="1" applyBorder="1" applyAlignment="1">
      <alignment horizontal="center"/>
    </xf>
    <xf numFmtId="176" fontId="22" fillId="2" borderId="15" xfId="0" applyNumberFormat="1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left"/>
    </xf>
    <xf numFmtId="0" fontId="22" fillId="2" borderId="21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/>
    </xf>
    <xf numFmtId="0" fontId="22" fillId="2" borderId="23" xfId="0" applyFont="1" applyFill="1" applyBorder="1" applyAlignment="1">
      <alignment horizontal="center"/>
    </xf>
    <xf numFmtId="0" fontId="21" fillId="2" borderId="24" xfId="0" applyFont="1" applyFill="1" applyBorder="1" applyAlignment="1">
      <alignment horizontal="left"/>
    </xf>
    <xf numFmtId="0" fontId="22" fillId="2" borderId="25" xfId="0" applyFont="1" applyFill="1" applyBorder="1" applyAlignment="1"/>
    <xf numFmtId="174" fontId="23" fillId="2" borderId="25" xfId="0" applyNumberFormat="1" applyFont="1" applyFill="1" applyBorder="1" applyAlignment="1">
      <alignment horizontal="center"/>
    </xf>
    <xf numFmtId="174" fontId="23" fillId="2" borderId="26" xfId="0" applyNumberFormat="1" applyFont="1" applyFill="1" applyBorder="1" applyAlignment="1">
      <alignment horizontal="center"/>
    </xf>
    <xf numFmtId="0" fontId="21" fillId="2" borderId="11" xfId="0" applyFont="1" applyFill="1" applyBorder="1" applyAlignment="1">
      <alignment horizontal="left"/>
    </xf>
    <xf numFmtId="0" fontId="22" fillId="2" borderId="12" xfId="0" applyFont="1" applyFill="1" applyBorder="1" applyAlignment="1"/>
    <xf numFmtId="0" fontId="22" fillId="2" borderId="12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174" fontId="22" fillId="2" borderId="0" xfId="0" applyNumberFormat="1" applyFont="1" applyFill="1" applyBorder="1" applyAlignment="1">
      <alignment horizontal="center"/>
    </xf>
    <xf numFmtId="0" fontId="25" fillId="2" borderId="14" xfId="0" applyFont="1" applyFill="1" applyBorder="1" applyAlignment="1">
      <alignment horizontal="left"/>
    </xf>
    <xf numFmtId="0" fontId="26" fillId="0" borderId="0" xfId="0" applyFont="1"/>
    <xf numFmtId="0" fontId="27" fillId="0" borderId="0" xfId="0" applyFont="1" applyAlignment="1">
      <alignment horizontal="centerContinuous"/>
    </xf>
    <xf numFmtId="0" fontId="28" fillId="0" borderId="0" xfId="0" applyFont="1"/>
    <xf numFmtId="0" fontId="29" fillId="0" borderId="0" xfId="0" applyFont="1"/>
    <xf numFmtId="0" fontId="30" fillId="0" borderId="0" xfId="0" applyFont="1"/>
    <xf numFmtId="11" fontId="31" fillId="0" borderId="0" xfId="0" applyNumberFormat="1" applyFont="1" applyAlignment="1">
      <alignment horizontal="center"/>
    </xf>
    <xf numFmtId="2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74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1" fontId="0" fillId="0" borderId="0" xfId="0" applyNumberFormat="1" applyBorder="1" applyAlignment="1">
      <alignment horizontal="center"/>
    </xf>
    <xf numFmtId="11" fontId="0" fillId="0" borderId="0" xfId="0" applyNumberFormat="1" applyBorder="1" applyAlignment="1">
      <alignment horizontal="center" vertical="center"/>
    </xf>
    <xf numFmtId="174" fontId="0" fillId="0" borderId="0" xfId="0" applyNumberFormat="1" applyBorder="1" applyAlignment="1">
      <alignment horizontal="center"/>
    </xf>
    <xf numFmtId="175" fontId="0" fillId="0" borderId="0" xfId="0" applyNumberFormat="1" applyBorder="1" applyAlignment="1">
      <alignment horizontal="center" vertical="center"/>
    </xf>
    <xf numFmtId="11" fontId="0" fillId="0" borderId="27" xfId="0" applyNumberFormat="1" applyBorder="1"/>
    <xf numFmtId="174" fontId="0" fillId="0" borderId="28" xfId="0" applyNumberFormat="1" applyBorder="1" applyAlignment="1">
      <alignment horizontal="center"/>
    </xf>
    <xf numFmtId="176" fontId="0" fillId="0" borderId="28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1" fontId="0" fillId="0" borderId="28" xfId="0" applyNumberFormat="1" applyBorder="1" applyAlignment="1">
      <alignment horizontal="center"/>
    </xf>
    <xf numFmtId="175" fontId="0" fillId="0" borderId="29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33" fillId="0" borderId="0" xfId="0" applyFont="1"/>
    <xf numFmtId="0" fontId="13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0" fontId="35" fillId="0" borderId="0" xfId="0" applyFont="1" applyAlignment="1">
      <alignment horizontal="center"/>
    </xf>
    <xf numFmtId="191" fontId="35" fillId="0" borderId="0" xfId="0" applyNumberFormat="1" applyFont="1" applyAlignment="1">
      <alignment horizontal="center"/>
    </xf>
    <xf numFmtId="181" fontId="35" fillId="0" borderId="0" xfId="0" applyNumberFormat="1" applyFont="1" applyAlignment="1">
      <alignment horizontal="center"/>
    </xf>
    <xf numFmtId="11" fontId="35" fillId="0" borderId="0" xfId="0" applyNumberFormat="1" applyFont="1" applyAlignment="1">
      <alignment horizontal="center"/>
    </xf>
    <xf numFmtId="181" fontId="0" fillId="0" borderId="0" xfId="0" applyNumberFormat="1" applyAlignment="1">
      <alignment horizontal="center"/>
    </xf>
    <xf numFmtId="189" fontId="0" fillId="0" borderId="0" xfId="0" applyNumberFormat="1" applyAlignment="1">
      <alignment horizontal="center"/>
    </xf>
    <xf numFmtId="175" fontId="35" fillId="0" borderId="0" xfId="0" applyNumberFormat="1" applyFont="1" applyAlignment="1">
      <alignment horizontal="center"/>
    </xf>
    <xf numFmtId="192" fontId="0" fillId="0" borderId="0" xfId="0" applyNumberFormat="1"/>
    <xf numFmtId="192" fontId="0" fillId="0" borderId="0" xfId="0" applyNumberFormat="1" applyAlignment="1">
      <alignment horizontal="center"/>
    </xf>
    <xf numFmtId="0" fontId="16" fillId="0" borderId="0" xfId="0" applyFont="1" applyAlignment="1">
      <alignment horizontal="right"/>
    </xf>
    <xf numFmtId="2" fontId="0" fillId="0" borderId="0" xfId="0" applyNumberFormat="1"/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17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7" fontId="32" fillId="0" borderId="0" xfId="0" applyNumberFormat="1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(W1)"/>
                <a:ea typeface="Univers (W1)"/>
                <a:cs typeface="Univers (W1)"/>
              </a:defRPr>
            </a:pPr>
            <a:r>
              <a:rPr lang="de-DE"/>
              <a:t>Aktivitätskonzentration 
im Behälter</a:t>
            </a:r>
          </a:p>
        </c:rich>
      </c:tx>
      <c:layout>
        <c:manualLayout>
          <c:xMode val="edge"/>
          <c:yMode val="edge"/>
          <c:x val="0.51873198847262247"/>
          <c:y val="2.41287179131381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6657060518732"/>
          <c:y val="7.7748091053445267E-2"/>
          <c:w val="0.76080691642651299"/>
          <c:h val="0.76675703590639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ABKDIM.XLS!$G$12</c:f>
              <c:strCache>
                <c:ptCount val="1"/>
                <c:pt idx="0">
                  <c:v>Bq/m³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ABKDIM.XLS!$B$14:$B$70</c:f>
              <c:numCache>
                <c:formatCode>0.0</c:formatCode>
                <c:ptCount val="57"/>
                <c:pt idx="0">
                  <c:v>1.6850432352830118</c:v>
                </c:pt>
                <c:pt idx="1">
                  <c:v>3.3700864705660236</c:v>
                </c:pt>
                <c:pt idx="2">
                  <c:v>5.0551297058490352</c:v>
                </c:pt>
                <c:pt idx="3">
                  <c:v>6.7401729411320472</c:v>
                </c:pt>
                <c:pt idx="4">
                  <c:v>8.4252161764150593</c:v>
                </c:pt>
                <c:pt idx="5">
                  <c:v>10.11025941169807</c:v>
                </c:pt>
                <c:pt idx="6">
                  <c:v>11.795302646981082</c:v>
                </c:pt>
                <c:pt idx="7">
                  <c:v>13.480345882264093</c:v>
                </c:pt>
                <c:pt idx="8">
                  <c:v>15.165389117547104</c:v>
                </c:pt>
                <c:pt idx="9">
                  <c:v>16.850432352830115</c:v>
                </c:pt>
                <c:pt idx="10">
                  <c:v>18.535475588113126</c:v>
                </c:pt>
                <c:pt idx="11">
                  <c:v>20.220518823396137</c:v>
                </c:pt>
                <c:pt idx="12">
                  <c:v>21.905562058679148</c:v>
                </c:pt>
                <c:pt idx="13">
                  <c:v>23.59060529396216</c:v>
                </c:pt>
                <c:pt idx="14">
                  <c:v>25.275648529245171</c:v>
                </c:pt>
                <c:pt idx="15">
                  <c:v>26.960691764528182</c:v>
                </c:pt>
                <c:pt idx="16">
                  <c:v>28.645734999811193</c:v>
                </c:pt>
                <c:pt idx="17">
                  <c:v>30.330778235094204</c:v>
                </c:pt>
                <c:pt idx="18">
                  <c:v>32.015821470377219</c:v>
                </c:pt>
                <c:pt idx="19">
                  <c:v>33.70086470566023</c:v>
                </c:pt>
                <c:pt idx="20">
                  <c:v>35.385907940943241</c:v>
                </c:pt>
                <c:pt idx="21">
                  <c:v>37.070951176226252</c:v>
                </c:pt>
                <c:pt idx="22">
                  <c:v>38.755994411509263</c:v>
                </c:pt>
                <c:pt idx="23">
                  <c:v>40.441037646792275</c:v>
                </c:pt>
                <c:pt idx="24">
                  <c:v>42.126080882075286</c:v>
                </c:pt>
                <c:pt idx="25">
                  <c:v>43.811124117358297</c:v>
                </c:pt>
                <c:pt idx="26">
                  <c:v>45.496167352641308</c:v>
                </c:pt>
                <c:pt idx="27">
                  <c:v>47.181210587924319</c:v>
                </c:pt>
                <c:pt idx="28">
                  <c:v>48.86625382320733</c:v>
                </c:pt>
                <c:pt idx="29">
                  <c:v>50.551297058490341</c:v>
                </c:pt>
                <c:pt idx="30">
                  <c:v>52.236340293773353</c:v>
                </c:pt>
                <c:pt idx="31">
                  <c:v>53.921383529056364</c:v>
                </c:pt>
                <c:pt idx="32">
                  <c:v>55.606426764339375</c:v>
                </c:pt>
                <c:pt idx="33">
                  <c:v>57.291469999622386</c:v>
                </c:pt>
                <c:pt idx="34">
                  <c:v>58.976513234905397</c:v>
                </c:pt>
                <c:pt idx="35">
                  <c:v>60.661556470188408</c:v>
                </c:pt>
                <c:pt idx="36">
                  <c:v>62.346599705471419</c:v>
                </c:pt>
                <c:pt idx="37">
                  <c:v>64.031642940754438</c:v>
                </c:pt>
                <c:pt idx="38">
                  <c:v>65.716686176037456</c:v>
                </c:pt>
                <c:pt idx="39">
                  <c:v>67.401729411320474</c:v>
                </c:pt>
                <c:pt idx="40">
                  <c:v>69.086772646603492</c:v>
                </c:pt>
                <c:pt idx="41">
                  <c:v>70.771815881886511</c:v>
                </c:pt>
                <c:pt idx="42">
                  <c:v>72.456859117169529</c:v>
                </c:pt>
                <c:pt idx="43">
                  <c:v>74.141902352452547</c:v>
                </c:pt>
                <c:pt idx="44">
                  <c:v>75.826945587735565</c:v>
                </c:pt>
                <c:pt idx="45">
                  <c:v>77.511988823018584</c:v>
                </c:pt>
                <c:pt idx="46">
                  <c:v>79.197032058301602</c:v>
                </c:pt>
                <c:pt idx="47">
                  <c:v>80.88207529358462</c:v>
                </c:pt>
                <c:pt idx="48">
                  <c:v>82.567118528867638</c:v>
                </c:pt>
                <c:pt idx="49">
                  <c:v>84.252161764150657</c:v>
                </c:pt>
                <c:pt idx="50">
                  <c:v>85.937204999433675</c:v>
                </c:pt>
                <c:pt idx="51">
                  <c:v>87.622248234716693</c:v>
                </c:pt>
                <c:pt idx="52">
                  <c:v>89.307291469999711</c:v>
                </c:pt>
                <c:pt idx="53">
                  <c:v>90.99233470528273</c:v>
                </c:pt>
                <c:pt idx="54">
                  <c:v>92.677377940565748</c:v>
                </c:pt>
                <c:pt idx="55">
                  <c:v>94.362421175848766</c:v>
                </c:pt>
                <c:pt idx="56">
                  <c:v>96.047464411131784</c:v>
                </c:pt>
              </c:numCache>
            </c:numRef>
          </c:cat>
          <c:val>
            <c:numRef>
              <c:f>ABKDIM.XLS!$G$14:$G$70</c:f>
              <c:numCache>
                <c:formatCode>0.00E+00</c:formatCode>
                <c:ptCount val="57"/>
                <c:pt idx="0">
                  <c:v>12288612870.443529</c:v>
                </c:pt>
                <c:pt idx="1">
                  <c:v>11457825589.919487</c:v>
                </c:pt>
                <c:pt idx="2">
                  <c:v>10701926881.74094</c:v>
                </c:pt>
                <c:pt idx="3">
                  <c:v>10013322340.336996</c:v>
                </c:pt>
                <c:pt idx="4">
                  <c:v>9385239047.2312603</c:v>
                </c:pt>
                <c:pt idx="5">
                  <c:v>8811633008.2445354</c:v>
                </c:pt>
                <c:pt idx="6">
                  <c:v>8287107318.3983679</c:v>
                </c:pt>
                <c:pt idx="7">
                  <c:v>7806839785.3146486</c:v>
                </c:pt>
                <c:pt idx="8">
                  <c:v>7366518894.450964</c:v>
                </c:pt>
                <c:pt idx="9">
                  <c:v>6962287133.4923267</c:v>
                </c:pt>
                <c:pt idx="10">
                  <c:v>6590690810.9194803</c:v>
                </c:pt>
                <c:pt idx="11">
                  <c:v>6248635607.1910114</c:v>
                </c:pt>
                <c:pt idx="12">
                  <c:v>5933347187.8624029</c:v>
                </c:pt>
                <c:pt idx="13">
                  <c:v>5642336287.8549976</c:v>
                </c:pt>
                <c:pt idx="14">
                  <c:v>5373367746.3265018</c:v>
                </c:pt>
                <c:pt idx="15">
                  <c:v>5124433033.3613977</c:v>
                </c:pt>
                <c:pt idx="16">
                  <c:v>4893725864.0282507</c:v>
                </c:pt>
                <c:pt idx="17">
                  <c:v>4679620543.1475019</c:v>
                </c:pt>
                <c:pt idx="18">
                  <c:v>4480652726.1731815</c:v>
                </c:pt>
                <c:pt idx="19">
                  <c:v>4295502318.6118851</c:v>
                </c:pt>
                <c:pt idx="20">
                  <c:v>4122978268.9941831</c:v>
                </c:pt>
                <c:pt idx="21">
                  <c:v>3962005039.1138253</c:v>
                </c:pt>
                <c:pt idx="22">
                  <c:v>3811610560.5296731</c:v>
                </c:pt>
                <c:pt idx="23">
                  <c:v>3670915508.5974278</c:v>
                </c:pt>
                <c:pt idx="24">
                  <c:v>3539123744.9257741</c:v>
                </c:pt>
                <c:pt idx="25">
                  <c:v>3415513796.4531484</c:v>
                </c:pt>
                <c:pt idx="26">
                  <c:v>3299431254.5965052</c:v>
                </c:pt>
                <c:pt idx="27">
                  <c:v>3190281991.3780789</c:v>
                </c:pt>
                <c:pt idx="28">
                  <c:v>3087526101.3059158</c:v>
                </c:pt>
                <c:pt idx="29">
                  <c:v>2990672488.2586088</c:v>
                </c:pt>
                <c:pt idx="30">
                  <c:v>2899274025.8707781</c:v>
                </c:pt>
                <c:pt idx="31">
                  <c:v>2812923228.0800023</c:v>
                </c:pt>
                <c:pt idx="32">
                  <c:v>2731248373.7067485</c:v>
                </c:pt>
                <c:pt idx="33">
                  <c:v>2653910035.309844</c:v>
                </c:pt>
                <c:pt idx="34">
                  <c:v>2580597968.1905499</c:v>
                </c:pt>
                <c:pt idx="35">
                  <c:v>2511028320.3961177</c:v>
                </c:pt>
                <c:pt idx="36">
                  <c:v>2444941128.9759274</c:v>
                </c:pt>
                <c:pt idx="37">
                  <c:v>2382098071.6376758</c:v>
                </c:pt>
                <c:pt idx="38">
                  <c:v>2322280446.3974695</c:v>
                </c:pt>
                <c:pt idx="39">
                  <c:v>2265287354.8685756</c:v>
                </c:pt>
                <c:pt idx="40">
                  <c:v>2210934067.5354109</c:v>
                </c:pt>
                <c:pt idx="41">
                  <c:v>2159050551.7528124</c:v>
                </c:pt>
                <c:pt idx="42">
                  <c:v>2109480145.3317635</c:v>
                </c:pt>
                <c:pt idx="43">
                  <c:v>2062078360.4532425</c:v>
                </c:pt>
                <c:pt idx="44">
                  <c:v>2016711804.3195641</c:v>
                </c:pt>
                <c:pt idx="45">
                  <c:v>1973257204.4322646</c:v>
                </c:pt>
                <c:pt idx="46">
                  <c:v>1931600527.6988482</c:v>
                </c:pt>
                <c:pt idx="47">
                  <c:v>1891636183.7368281</c:v>
                </c:pt>
                <c:pt idx="48">
                  <c:v>1853266303.7793067</c:v>
                </c:pt>
                <c:pt idx="49">
                  <c:v>1816400087.5068548</c:v>
                </c:pt>
                <c:pt idx="50">
                  <c:v>1780953210.9487643</c:v>
                </c:pt>
                <c:pt idx="51">
                  <c:v>1746847289.32463</c:v>
                </c:pt>
                <c:pt idx="52">
                  <c:v>1714009389.3448226</c:v>
                </c:pt>
                <c:pt idx="53">
                  <c:v>1682371586.0649676</c:v>
                </c:pt>
                <c:pt idx="54">
                  <c:v>1651870559.9029701</c:v>
                </c:pt>
                <c:pt idx="55">
                  <c:v>1622447229.8846509</c:v>
                </c:pt>
                <c:pt idx="56">
                  <c:v>1594046419.591846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4-4EE1-BDC9-8DAF35240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28928"/>
        <c:axId val="1"/>
      </c:barChart>
      <c:catAx>
        <c:axId val="41732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de-DE"/>
                  <a:t>Füllzeit [d]</a:t>
                </a:r>
              </a:p>
            </c:rich>
          </c:tx>
          <c:layout>
            <c:manualLayout>
              <c:xMode val="edge"/>
              <c:yMode val="edge"/>
              <c:x val="0.49855907780979825"/>
              <c:y val="0.927615155327312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1"/>
        <c:scaling>
          <c:logBase val="10"/>
          <c:orientation val="minMax"/>
          <c:min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de-DE"/>
                  <a:t>Bq/m³</a:t>
                </a:r>
              </a:p>
            </c:rich>
          </c:tx>
          <c:layout>
            <c:manualLayout>
              <c:xMode val="edge"/>
              <c:yMode val="edge"/>
              <c:x val="2.0172910662824207E-2"/>
              <c:y val="0.39946432989528774"/>
            </c:manualLayout>
          </c:layout>
          <c:overlay val="0"/>
          <c:spPr>
            <a:noFill/>
            <a:ln w="25400">
              <a:noFill/>
            </a:ln>
          </c:spPr>
        </c:title>
        <c:numFmt formatCode="0E+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de-DE"/>
          </a:p>
        </c:txPr>
        <c:crossAx val="4173289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e-DE"/>
    </a:p>
  </c:txPr>
  <c:printSettings>
    <c:headerFooter alignWithMargins="0">
      <c:oddHeader>&amp;N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portrait" horizontalDpi="300" verticalDpi="30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(W1)"/>
                <a:ea typeface="Univers (W1)"/>
                <a:cs typeface="Univers (W1)"/>
              </a:defRPr>
            </a:pPr>
            <a:r>
              <a:rPr lang="de-DE"/>
              <a:t>Aktivität im Behälter</a:t>
            </a:r>
          </a:p>
        </c:rich>
      </c:tx>
      <c:layout>
        <c:manualLayout>
          <c:xMode val="edge"/>
          <c:yMode val="edge"/>
          <c:x val="0.54626865671641789"/>
          <c:y val="1.3404843285076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791044776119403"/>
          <c:y val="8.0429059710460618E-2"/>
          <c:w val="0.77014925373134324"/>
          <c:h val="0.78284284784848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ABKDIM.XLS!$F$12</c:f>
              <c:strCache>
                <c:ptCount val="1"/>
                <c:pt idx="0">
                  <c:v>Bq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ABKDIM.XLS!$B$14:$B$70</c:f>
              <c:numCache>
                <c:formatCode>0.0</c:formatCode>
                <c:ptCount val="57"/>
                <c:pt idx="0">
                  <c:v>1.6850432352830118</c:v>
                </c:pt>
                <c:pt idx="1">
                  <c:v>3.3700864705660236</c:v>
                </c:pt>
                <c:pt idx="2">
                  <c:v>5.0551297058490352</c:v>
                </c:pt>
                <c:pt idx="3">
                  <c:v>6.7401729411320472</c:v>
                </c:pt>
                <c:pt idx="4">
                  <c:v>8.4252161764150593</c:v>
                </c:pt>
                <c:pt idx="5">
                  <c:v>10.11025941169807</c:v>
                </c:pt>
                <c:pt idx="6">
                  <c:v>11.795302646981082</c:v>
                </c:pt>
                <c:pt idx="7">
                  <c:v>13.480345882264093</c:v>
                </c:pt>
                <c:pt idx="8">
                  <c:v>15.165389117547104</c:v>
                </c:pt>
                <c:pt idx="9">
                  <c:v>16.850432352830115</c:v>
                </c:pt>
                <c:pt idx="10">
                  <c:v>18.535475588113126</c:v>
                </c:pt>
                <c:pt idx="11">
                  <c:v>20.220518823396137</c:v>
                </c:pt>
                <c:pt idx="12">
                  <c:v>21.905562058679148</c:v>
                </c:pt>
                <c:pt idx="13">
                  <c:v>23.59060529396216</c:v>
                </c:pt>
                <c:pt idx="14">
                  <c:v>25.275648529245171</c:v>
                </c:pt>
                <c:pt idx="15">
                  <c:v>26.960691764528182</c:v>
                </c:pt>
                <c:pt idx="16">
                  <c:v>28.645734999811193</c:v>
                </c:pt>
                <c:pt idx="17">
                  <c:v>30.330778235094204</c:v>
                </c:pt>
                <c:pt idx="18">
                  <c:v>32.015821470377219</c:v>
                </c:pt>
                <c:pt idx="19">
                  <c:v>33.70086470566023</c:v>
                </c:pt>
                <c:pt idx="20">
                  <c:v>35.385907940943241</c:v>
                </c:pt>
                <c:pt idx="21">
                  <c:v>37.070951176226252</c:v>
                </c:pt>
                <c:pt idx="22">
                  <c:v>38.755994411509263</c:v>
                </c:pt>
                <c:pt idx="23">
                  <c:v>40.441037646792275</c:v>
                </c:pt>
                <c:pt idx="24">
                  <c:v>42.126080882075286</c:v>
                </c:pt>
                <c:pt idx="25">
                  <c:v>43.811124117358297</c:v>
                </c:pt>
                <c:pt idx="26">
                  <c:v>45.496167352641308</c:v>
                </c:pt>
                <c:pt idx="27">
                  <c:v>47.181210587924319</c:v>
                </c:pt>
                <c:pt idx="28">
                  <c:v>48.86625382320733</c:v>
                </c:pt>
                <c:pt idx="29">
                  <c:v>50.551297058490341</c:v>
                </c:pt>
                <c:pt idx="30">
                  <c:v>52.236340293773353</c:v>
                </c:pt>
                <c:pt idx="31">
                  <c:v>53.921383529056364</c:v>
                </c:pt>
                <c:pt idx="32">
                  <c:v>55.606426764339375</c:v>
                </c:pt>
                <c:pt idx="33">
                  <c:v>57.291469999622386</c:v>
                </c:pt>
                <c:pt idx="34">
                  <c:v>58.976513234905397</c:v>
                </c:pt>
                <c:pt idx="35">
                  <c:v>60.661556470188408</c:v>
                </c:pt>
                <c:pt idx="36">
                  <c:v>62.346599705471419</c:v>
                </c:pt>
                <c:pt idx="37">
                  <c:v>64.031642940754438</c:v>
                </c:pt>
                <c:pt idx="38">
                  <c:v>65.716686176037456</c:v>
                </c:pt>
                <c:pt idx="39">
                  <c:v>67.401729411320474</c:v>
                </c:pt>
                <c:pt idx="40">
                  <c:v>69.086772646603492</c:v>
                </c:pt>
                <c:pt idx="41">
                  <c:v>70.771815881886511</c:v>
                </c:pt>
                <c:pt idx="42">
                  <c:v>72.456859117169529</c:v>
                </c:pt>
                <c:pt idx="43">
                  <c:v>74.141902352452547</c:v>
                </c:pt>
                <c:pt idx="44">
                  <c:v>75.826945587735565</c:v>
                </c:pt>
                <c:pt idx="45">
                  <c:v>77.511988823018584</c:v>
                </c:pt>
                <c:pt idx="46">
                  <c:v>79.197032058301602</c:v>
                </c:pt>
                <c:pt idx="47">
                  <c:v>80.88207529358462</c:v>
                </c:pt>
                <c:pt idx="48">
                  <c:v>82.567118528867638</c:v>
                </c:pt>
                <c:pt idx="49">
                  <c:v>84.252161764150657</c:v>
                </c:pt>
                <c:pt idx="50">
                  <c:v>85.937204999433675</c:v>
                </c:pt>
                <c:pt idx="51">
                  <c:v>87.622248234716693</c:v>
                </c:pt>
                <c:pt idx="52">
                  <c:v>89.307291469999711</c:v>
                </c:pt>
                <c:pt idx="53">
                  <c:v>90.99233470528273</c:v>
                </c:pt>
                <c:pt idx="54">
                  <c:v>92.677377940565748</c:v>
                </c:pt>
                <c:pt idx="55">
                  <c:v>94.362421175848766</c:v>
                </c:pt>
                <c:pt idx="56">
                  <c:v>96.047464411131784</c:v>
                </c:pt>
              </c:numCache>
            </c:numRef>
          </c:cat>
          <c:val>
            <c:numRef>
              <c:f>ABKDIM.XLS!$F$14:$F$70</c:f>
              <c:numCache>
                <c:formatCode>0.00E+00</c:formatCode>
                <c:ptCount val="57"/>
                <c:pt idx="0">
                  <c:v>10445320939.877001</c:v>
                </c:pt>
                <c:pt idx="1">
                  <c:v>19478303502.863129</c:v>
                </c:pt>
                <c:pt idx="2">
                  <c:v>27289913548.439396</c:v>
                </c:pt>
                <c:pt idx="3">
                  <c:v>34045295957.14579</c:v>
                </c:pt>
                <c:pt idx="4">
                  <c:v>39887265950.732857</c:v>
                </c:pt>
                <c:pt idx="5">
                  <c:v>44939328342.047127</c:v>
                </c:pt>
                <c:pt idx="6">
                  <c:v>49308288544.470284</c:v>
                </c:pt>
                <c:pt idx="7">
                  <c:v>53086510540.13961</c:v>
                </c:pt>
                <c:pt idx="8">
                  <c:v>56353869542.549873</c:v>
                </c:pt>
                <c:pt idx="9">
                  <c:v>59179440634.684769</c:v>
                </c:pt>
                <c:pt idx="10">
                  <c:v>61622959082.09713</c:v>
                </c:pt>
                <c:pt idx="11">
                  <c:v>63736083193.348297</c:v>
                </c:pt>
                <c:pt idx="12">
                  <c:v>65563486425.879532</c:v>
                </c:pt>
                <c:pt idx="13">
                  <c:v>67143801825.474457</c:v>
                </c:pt>
                <c:pt idx="14">
                  <c:v>68510438765.66288</c:v>
                </c:pt>
                <c:pt idx="15">
                  <c:v>69692289253.714996</c:v>
                </c:pt>
                <c:pt idx="16">
                  <c:v>70714338735.208206</c:v>
                </c:pt>
                <c:pt idx="17">
                  <c:v>71598194310.156769</c:v>
                </c:pt>
                <c:pt idx="18">
                  <c:v>72362541527.696869</c:v>
                </c:pt>
                <c:pt idx="19">
                  <c:v>73023539416.402039</c:v>
                </c:pt>
                <c:pt idx="20">
                  <c:v>73595162101.546158</c:v>
                </c:pt>
                <c:pt idx="21">
                  <c:v>74089494231.428513</c:v>
                </c:pt>
                <c:pt idx="22">
                  <c:v>74516986458.355103</c:v>
                </c:pt>
                <c:pt idx="23">
                  <c:v>74886676375.387512</c:v>
                </c:pt>
                <c:pt idx="24">
                  <c:v>75206379579.672684</c:v>
                </c:pt>
                <c:pt idx="25">
                  <c:v>75482854901.614563</c:v>
                </c:pt>
                <c:pt idx="26">
                  <c:v>75721947292.989777</c:v>
                </c:pt>
                <c:pt idx="27">
                  <c:v>75928711394.798264</c:v>
                </c:pt>
                <c:pt idx="28">
                  <c:v>76107518397.190811</c:v>
                </c:pt>
                <c:pt idx="29">
                  <c:v>76262148450.594498</c:v>
                </c:pt>
                <c:pt idx="30">
                  <c:v>76395870581.694992</c:v>
                </c:pt>
                <c:pt idx="31">
                  <c:v>76511511803.776047</c:v>
                </c:pt>
                <c:pt idx="32">
                  <c:v>76611516882.474274</c:v>
                </c:pt>
                <c:pt idx="33">
                  <c:v>76698000020.454483</c:v>
                </c:pt>
                <c:pt idx="34">
                  <c:v>76772789553.668839</c:v>
                </c:pt>
                <c:pt idx="35">
                  <c:v>76837466604.121185</c:v>
                </c:pt>
                <c:pt idx="36">
                  <c:v>76893398506.292892</c:v>
                </c:pt>
                <c:pt idx="37">
                  <c:v>76941767713.896927</c:v>
                </c:pt>
                <c:pt idx="38">
                  <c:v>76983596798.076111</c:v>
                </c:pt>
                <c:pt idx="39">
                  <c:v>77019770065.53157</c:v>
                </c:pt>
                <c:pt idx="40">
                  <c:v>77051052253.609085</c:v>
                </c:pt>
                <c:pt idx="41">
                  <c:v>77078104697.575424</c:v>
                </c:pt>
                <c:pt idx="42">
                  <c:v>77101499311.875977</c:v>
                </c:pt>
                <c:pt idx="43">
                  <c:v>77121730680.951294</c:v>
                </c:pt>
                <c:pt idx="44">
                  <c:v>77139226515.223373</c:v>
                </c:pt>
                <c:pt idx="45">
                  <c:v>77154356693.30159</c:v>
                </c:pt>
                <c:pt idx="46">
                  <c:v>77167441081.569031</c:v>
                </c:pt>
                <c:pt idx="47">
                  <c:v>77178756296.462631</c:v>
                </c:pt>
                <c:pt idx="48">
                  <c:v>77188541552.408188</c:v>
                </c:pt>
                <c:pt idx="49">
                  <c:v>77197003719.041397</c:v>
                </c:pt>
                <c:pt idx="50">
                  <c:v>77204321694.628998</c:v>
                </c:pt>
                <c:pt idx="51">
                  <c:v>77210650188.148712</c:v>
                </c:pt>
                <c:pt idx="52">
                  <c:v>77216122989.984344</c:v>
                </c:pt>
                <c:pt idx="53">
                  <c:v>77220855800.382095</c:v>
                </c:pt>
                <c:pt idx="54">
                  <c:v>77224948675.463928</c:v>
                </c:pt>
                <c:pt idx="55">
                  <c:v>77228488142.509476</c:v>
                </c:pt>
                <c:pt idx="56">
                  <c:v>77231549029.225037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D-420B-8BA4-6CC3D6166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17333520"/>
        <c:axId val="1"/>
      </c:barChart>
      <c:catAx>
        <c:axId val="41733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de-DE"/>
                  <a:t>Füllzeit [d]</a:t>
                </a:r>
              </a:p>
            </c:rich>
          </c:tx>
          <c:layout>
            <c:manualLayout>
              <c:xMode val="edge"/>
              <c:yMode val="edge"/>
              <c:x val="0.48955223880597015"/>
              <c:y val="0.927615155327312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1"/>
        <c:scaling>
          <c:logBase val="10"/>
          <c:orientation val="minMax"/>
          <c:min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de-DE"/>
                  <a:t>Bq</a:t>
                </a:r>
              </a:p>
            </c:rich>
          </c:tx>
          <c:layout>
            <c:manualLayout>
              <c:xMode val="edge"/>
              <c:yMode val="edge"/>
              <c:x val="1.4925373134328358E-2"/>
              <c:y val="0.43967885975051807"/>
            </c:manualLayout>
          </c:layout>
          <c:overlay val="0"/>
          <c:spPr>
            <a:noFill/>
            <a:ln w="25400">
              <a:noFill/>
            </a:ln>
          </c:spPr>
        </c:title>
        <c:numFmt formatCode="0E+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de-DE"/>
          </a:p>
        </c:txPr>
        <c:crossAx val="4173335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e-DE"/>
    </a:p>
  </c:txPr>
  <c:printSettings>
    <c:headerFooter alignWithMargins="0">
      <c:oddHeader>&amp;N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portrait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(W1)"/>
                <a:ea typeface="Univers (W1)"/>
                <a:cs typeface="Univers (W1)"/>
              </a:defRPr>
            </a:pPr>
            <a:r>
              <a:rPr lang="de-DE"/>
              <a:t>Erforderliche 
Abklingzeit</a:t>
            </a:r>
          </a:p>
        </c:rich>
      </c:tx>
      <c:layout>
        <c:manualLayout>
          <c:xMode val="edge"/>
          <c:yMode val="edge"/>
          <c:x val="0.59821602439088195"/>
          <c:y val="4.0816326530612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59574845304493"/>
          <c:y val="4.336734693877551E-2"/>
          <c:w val="0.8125023614861232"/>
          <c:h val="0.8035714285714286"/>
        </c:manualLayout>
      </c:layout>
      <c:barChart>
        <c:barDir val="col"/>
        <c:grouping val="clustered"/>
        <c:varyColors val="0"/>
        <c:ser>
          <c:idx val="0"/>
          <c:order val="0"/>
          <c:tx>
            <c:v>Tage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ABKDIM.XLS!$D$14:$D$70</c:f>
              <c:numCache>
                <c:formatCode>0</c:formatCode>
                <c:ptCount val="57"/>
                <c:pt idx="0">
                  <c:v>1.0000000000000002</c:v>
                </c:pt>
                <c:pt idx="1">
                  <c:v>2.0000000000000004</c:v>
                </c:pt>
                <c:pt idx="2">
                  <c:v>3</c:v>
                </c:pt>
                <c:pt idx="3">
                  <c:v>4.0000000000000009</c:v>
                </c:pt>
                <c:pt idx="4">
                  <c:v>5</c:v>
                </c:pt>
                <c:pt idx="5">
                  <c:v>6</c:v>
                </c:pt>
                <c:pt idx="6">
                  <c:v>6.9999999999999991</c:v>
                </c:pt>
                <c:pt idx="7">
                  <c:v>8</c:v>
                </c:pt>
                <c:pt idx="8">
                  <c:v>9</c:v>
                </c:pt>
                <c:pt idx="9">
                  <c:v>9.9999999999999982</c:v>
                </c:pt>
                <c:pt idx="10">
                  <c:v>10.999999999999998</c:v>
                </c:pt>
                <c:pt idx="11">
                  <c:v>11.999999999999998</c:v>
                </c:pt>
                <c:pt idx="12">
                  <c:v>12.999999999999996</c:v>
                </c:pt>
                <c:pt idx="13">
                  <c:v>13.999999999999996</c:v>
                </c:pt>
                <c:pt idx="14">
                  <c:v>14.999999999999996</c:v>
                </c:pt>
                <c:pt idx="15">
                  <c:v>15.999999999999998</c:v>
                </c:pt>
                <c:pt idx="16">
                  <c:v>16.999999999999996</c:v>
                </c:pt>
                <c:pt idx="17">
                  <c:v>17.999999999999996</c:v>
                </c:pt>
                <c:pt idx="18">
                  <c:v>19</c:v>
                </c:pt>
                <c:pt idx="19">
                  <c:v>19.999999999999996</c:v>
                </c:pt>
                <c:pt idx="20">
                  <c:v>20.999999999999996</c:v>
                </c:pt>
                <c:pt idx="21">
                  <c:v>21.999999999999996</c:v>
                </c:pt>
                <c:pt idx="22">
                  <c:v>22.999999999999996</c:v>
                </c:pt>
                <c:pt idx="23">
                  <c:v>23.999999999999996</c:v>
                </c:pt>
                <c:pt idx="24">
                  <c:v>24.999999999999996</c:v>
                </c:pt>
                <c:pt idx="25">
                  <c:v>25.999999999999993</c:v>
                </c:pt>
                <c:pt idx="26">
                  <c:v>26.999999999999996</c:v>
                </c:pt>
                <c:pt idx="27">
                  <c:v>27.999999999999993</c:v>
                </c:pt>
                <c:pt idx="28">
                  <c:v>28.999999999999996</c:v>
                </c:pt>
                <c:pt idx="29">
                  <c:v>29.999999999999993</c:v>
                </c:pt>
                <c:pt idx="30">
                  <c:v>30.999999999999993</c:v>
                </c:pt>
                <c:pt idx="31">
                  <c:v>31.999999999999996</c:v>
                </c:pt>
                <c:pt idx="32">
                  <c:v>32.999999999999993</c:v>
                </c:pt>
                <c:pt idx="33">
                  <c:v>33.999999999999993</c:v>
                </c:pt>
                <c:pt idx="34">
                  <c:v>34.999999999999993</c:v>
                </c:pt>
                <c:pt idx="35">
                  <c:v>35.999999999999993</c:v>
                </c:pt>
                <c:pt idx="36">
                  <c:v>36.999999999999993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41.000000000000014</c:v>
                </c:pt>
                <c:pt idx="41">
                  <c:v>42.000000000000014</c:v>
                </c:pt>
                <c:pt idx="42">
                  <c:v>43.000000000000014</c:v>
                </c:pt>
                <c:pt idx="43">
                  <c:v>44.000000000000014</c:v>
                </c:pt>
                <c:pt idx="44">
                  <c:v>45.000000000000028</c:v>
                </c:pt>
                <c:pt idx="45">
                  <c:v>46.000000000000028</c:v>
                </c:pt>
                <c:pt idx="46">
                  <c:v>47.000000000000028</c:v>
                </c:pt>
                <c:pt idx="47">
                  <c:v>48.000000000000028</c:v>
                </c:pt>
                <c:pt idx="48">
                  <c:v>49.000000000000043</c:v>
                </c:pt>
                <c:pt idx="49">
                  <c:v>50.000000000000043</c:v>
                </c:pt>
                <c:pt idx="50">
                  <c:v>51.000000000000043</c:v>
                </c:pt>
                <c:pt idx="51">
                  <c:v>52.00000000000005</c:v>
                </c:pt>
                <c:pt idx="52">
                  <c:v>53.000000000000057</c:v>
                </c:pt>
                <c:pt idx="53">
                  <c:v>54.000000000000057</c:v>
                </c:pt>
                <c:pt idx="54">
                  <c:v>55.000000000000057</c:v>
                </c:pt>
                <c:pt idx="55">
                  <c:v>56.000000000000071</c:v>
                </c:pt>
                <c:pt idx="56">
                  <c:v>57.000000000000071</c:v>
                </c:pt>
              </c:numCache>
            </c:numRef>
          </c:cat>
          <c:val>
            <c:numRef>
              <c:f>ABKDIM.XLS!$H$14:$H$70</c:f>
              <c:numCache>
                <c:formatCode>0.0</c:formatCode>
                <c:ptCount val="57"/>
                <c:pt idx="0">
                  <c:v>166.77744908629191</c:v>
                </c:pt>
                <c:pt idx="1">
                  <c:v>165.96549919793148</c:v>
                </c:pt>
                <c:pt idx="2">
                  <c:v>165.17385904784533</c:v>
                </c:pt>
                <c:pt idx="3">
                  <c:v>164.40242226235168</c:v>
                </c:pt>
                <c:pt idx="4">
                  <c:v>163.6510413978142</c:v>
                </c:pt>
                <c:pt idx="5">
                  <c:v>162.91952938147321</c:v>
                </c:pt>
                <c:pt idx="6">
                  <c:v>162.20766131030442</c:v>
                </c:pt>
                <c:pt idx="7">
                  <c:v>161.51517657042433</c:v>
                </c:pt>
                <c:pt idx="8">
                  <c:v>160.84178123409436</c:v>
                </c:pt>
                <c:pt idx="9">
                  <c:v>160.18715068737313</c:v>
                </c:pt>
                <c:pt idx="10">
                  <c:v>159.55093243899475</c:v>
                </c:pt>
                <c:pt idx="11">
                  <c:v>158.93274906009975</c:v>
                </c:pt>
                <c:pt idx="12">
                  <c:v>158.33220120494269</c:v>
                </c:pt>
                <c:pt idx="13">
                  <c:v>157.74887066451276</c:v>
                </c:pt>
                <c:pt idx="14">
                  <c:v>157.18232340795316</c:v>
                </c:pt>
                <c:pt idx="15">
                  <c:v>156.63211257054701</c:v>
                </c:pt>
                <c:pt idx="16">
                  <c:v>156.09778135162503</c:v>
                </c:pt>
                <c:pt idx="17">
                  <c:v>155.57886579081753</c:v>
                </c:pt>
                <c:pt idx="18">
                  <c:v>155.07489739639928</c:v>
                </c:pt>
                <c:pt idx="19">
                  <c:v>154.58540560486131</c:v>
                </c:pt>
                <c:pt idx="20">
                  <c:v>154.10992005611044</c:v>
                </c:pt>
                <c:pt idx="21">
                  <c:v>153.64797267370048</c:v>
                </c:pt>
                <c:pt idx="22">
                  <c:v>153.19909954412054</c:v>
                </c:pt>
                <c:pt idx="23">
                  <c:v>152.76284259332638</c:v>
                </c:pt>
                <c:pt idx="24">
                  <c:v>152.33875106234288</c:v>
                </c:pt>
                <c:pt idx="25">
                  <c:v>151.92638278686641</c:v>
                </c:pt>
                <c:pt idx="26">
                  <c:v>151.52530528835049</c:v>
                </c:pt>
                <c:pt idx="27">
                  <c:v>151.13509668608319</c:v>
                </c:pt>
                <c:pt idx="28">
                  <c:v>150.75534644129348</c:v>
                </c:pt>
                <c:pt idx="29">
                  <c:v>150.3856559453946</c:v>
                </c:pt>
                <c:pt idx="30">
                  <c:v>150.02563896513877</c:v>
                </c:pt>
                <c:pt idx="31">
                  <c:v>149.67492195776734</c:v>
                </c:pt>
                <c:pt idx="32">
                  <c:v>149.33314426925293</c:v>
                </c:pt>
                <c:pt idx="33">
                  <c:v>148.99995822849147</c:v>
                </c:pt>
                <c:pt idx="34">
                  <c:v>148.67502914986804</c:v>
                </c:pt>
                <c:pt idx="35">
                  <c:v>148.35803525603239</c:v>
                </c:pt>
                <c:pt idx="36">
                  <c:v>148.04866753201998</c:v>
                </c:pt>
                <c:pt idx="37">
                  <c:v>147.74662952108108</c:v>
                </c:pt>
                <c:pt idx="38">
                  <c:v>147.45163707175888</c:v>
                </c:pt>
                <c:pt idx="39">
                  <c:v>147.16341804491927</c:v>
                </c:pt>
                <c:pt idx="40">
                  <c:v>146.88171198859712</c:v>
                </c:pt>
                <c:pt idx="41">
                  <c:v>146.60626978770475</c:v>
                </c:pt>
                <c:pt idx="42">
                  <c:v>146.33685329485999</c:v>
                </c:pt>
                <c:pt idx="43">
                  <c:v>146.07323494784373</c:v>
                </c:pt>
                <c:pt idx="44">
                  <c:v>145.8151973784959</c:v>
                </c:pt>
                <c:pt idx="45">
                  <c:v>145.56253301720986</c:v>
                </c:pt>
                <c:pt idx="46">
                  <c:v>145.31504369658771</c:v>
                </c:pt>
                <c:pt idx="47">
                  <c:v>145.07254025727721</c:v>
                </c:pt>
                <c:pt idx="48">
                  <c:v>144.8348421585201</c:v>
                </c:pt>
                <c:pt idx="49">
                  <c:v>144.60177709550342</c:v>
                </c:pt>
                <c:pt idx="50">
                  <c:v>144.37318062521453</c:v>
                </c:pt>
                <c:pt idx="51">
                  <c:v>144.14889580215663</c:v>
                </c:pt>
                <c:pt idx="52">
                  <c:v>143.92877282497878</c:v>
                </c:pt>
                <c:pt idx="53">
                  <c:v>143.71266869481292</c:v>
                </c:pt>
                <c:pt idx="54">
                  <c:v>143.50044688588196</c:v>
                </c:pt>
                <c:pt idx="55">
                  <c:v>143.29197702874953</c:v>
                </c:pt>
                <c:pt idx="56">
                  <c:v>143.0871346064159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E-4227-BAF6-331F151EA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8969976"/>
        <c:axId val="1"/>
      </c:barChart>
      <c:catAx>
        <c:axId val="288969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de-DE"/>
                  <a:t>Behältergröße [m³]</a:t>
                </a:r>
              </a:p>
            </c:rich>
          </c:tx>
          <c:layout>
            <c:manualLayout>
              <c:xMode val="edge"/>
              <c:yMode val="edge"/>
              <c:x val="0.38095348816931784"/>
              <c:y val="0.926020408163265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de-DE"/>
                  <a:t>Tage</a:t>
                </a:r>
              </a:p>
            </c:rich>
          </c:tx>
          <c:layout>
            <c:manualLayout>
              <c:xMode val="edge"/>
              <c:yMode val="edge"/>
              <c:x val="1.4880995631613977E-2"/>
              <c:y val="0.390306122448979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de-DE"/>
          </a:p>
        </c:txPr>
        <c:crossAx val="2889699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e-DE"/>
    </a:p>
  </c:txPr>
  <c:printSettings>
    <c:headerFooter alignWithMargins="0">
      <c:oddHeader>&amp;N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portrait" horizontalDpi="300" verticalDpi="300" copies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(W1)"/>
                <a:ea typeface="Univers (W1)"/>
                <a:cs typeface="Univers (W1)"/>
              </a:defRPr>
            </a:pPr>
            <a:r>
              <a:rPr lang="de-DE"/>
              <a:t>Erforderliche 
Anzahl Behälter</a:t>
            </a:r>
          </a:p>
        </c:rich>
      </c:tx>
      <c:layout>
        <c:manualLayout>
          <c:xMode val="edge"/>
          <c:yMode val="edge"/>
          <c:x val="0.57471425644939966"/>
          <c:y val="3.2994964748280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56206380787"/>
          <c:y val="4.0609187382499433E-2"/>
          <c:w val="0.80459995902915948"/>
          <c:h val="0.78172685711311407"/>
        </c:manualLayout>
      </c:layout>
      <c:barChart>
        <c:barDir val="col"/>
        <c:grouping val="clustered"/>
        <c:varyColors val="0"/>
        <c:ser>
          <c:idx val="0"/>
          <c:order val="0"/>
          <c:tx>
            <c:v>Stück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ABKDIM.XLS!$D$14:$D$70</c:f>
              <c:numCache>
                <c:formatCode>0</c:formatCode>
                <c:ptCount val="57"/>
                <c:pt idx="0">
                  <c:v>1.0000000000000002</c:v>
                </c:pt>
                <c:pt idx="1">
                  <c:v>2.0000000000000004</c:v>
                </c:pt>
                <c:pt idx="2">
                  <c:v>3</c:v>
                </c:pt>
                <c:pt idx="3">
                  <c:v>4.0000000000000009</c:v>
                </c:pt>
                <c:pt idx="4">
                  <c:v>5</c:v>
                </c:pt>
                <c:pt idx="5">
                  <c:v>6</c:v>
                </c:pt>
                <c:pt idx="6">
                  <c:v>6.9999999999999991</c:v>
                </c:pt>
                <c:pt idx="7">
                  <c:v>8</c:v>
                </c:pt>
                <c:pt idx="8">
                  <c:v>9</c:v>
                </c:pt>
                <c:pt idx="9">
                  <c:v>9.9999999999999982</c:v>
                </c:pt>
                <c:pt idx="10">
                  <c:v>10.999999999999998</c:v>
                </c:pt>
                <c:pt idx="11">
                  <c:v>11.999999999999998</c:v>
                </c:pt>
                <c:pt idx="12">
                  <c:v>12.999999999999996</c:v>
                </c:pt>
                <c:pt idx="13">
                  <c:v>13.999999999999996</c:v>
                </c:pt>
                <c:pt idx="14">
                  <c:v>14.999999999999996</c:v>
                </c:pt>
                <c:pt idx="15">
                  <c:v>15.999999999999998</c:v>
                </c:pt>
                <c:pt idx="16">
                  <c:v>16.999999999999996</c:v>
                </c:pt>
                <c:pt idx="17">
                  <c:v>17.999999999999996</c:v>
                </c:pt>
                <c:pt idx="18">
                  <c:v>19</c:v>
                </c:pt>
                <c:pt idx="19">
                  <c:v>19.999999999999996</c:v>
                </c:pt>
                <c:pt idx="20">
                  <c:v>20.999999999999996</c:v>
                </c:pt>
                <c:pt idx="21">
                  <c:v>21.999999999999996</c:v>
                </c:pt>
                <c:pt idx="22">
                  <c:v>22.999999999999996</c:v>
                </c:pt>
                <c:pt idx="23">
                  <c:v>23.999999999999996</c:v>
                </c:pt>
                <c:pt idx="24">
                  <c:v>24.999999999999996</c:v>
                </c:pt>
                <c:pt idx="25">
                  <c:v>25.999999999999993</c:v>
                </c:pt>
                <c:pt idx="26">
                  <c:v>26.999999999999996</c:v>
                </c:pt>
                <c:pt idx="27">
                  <c:v>27.999999999999993</c:v>
                </c:pt>
                <c:pt idx="28">
                  <c:v>28.999999999999996</c:v>
                </c:pt>
                <c:pt idx="29">
                  <c:v>29.999999999999993</c:v>
                </c:pt>
                <c:pt idx="30">
                  <c:v>30.999999999999993</c:v>
                </c:pt>
                <c:pt idx="31">
                  <c:v>31.999999999999996</c:v>
                </c:pt>
                <c:pt idx="32">
                  <c:v>32.999999999999993</c:v>
                </c:pt>
                <c:pt idx="33">
                  <c:v>33.999999999999993</c:v>
                </c:pt>
                <c:pt idx="34">
                  <c:v>34.999999999999993</c:v>
                </c:pt>
                <c:pt idx="35">
                  <c:v>35.999999999999993</c:v>
                </c:pt>
                <c:pt idx="36">
                  <c:v>36.999999999999993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41.000000000000014</c:v>
                </c:pt>
                <c:pt idx="41">
                  <c:v>42.000000000000014</c:v>
                </c:pt>
                <c:pt idx="42">
                  <c:v>43.000000000000014</c:v>
                </c:pt>
                <c:pt idx="43">
                  <c:v>44.000000000000014</c:v>
                </c:pt>
                <c:pt idx="44">
                  <c:v>45.000000000000028</c:v>
                </c:pt>
                <c:pt idx="45">
                  <c:v>46.000000000000028</c:v>
                </c:pt>
                <c:pt idx="46">
                  <c:v>47.000000000000028</c:v>
                </c:pt>
                <c:pt idx="47">
                  <c:v>48.000000000000028</c:v>
                </c:pt>
                <c:pt idx="48">
                  <c:v>49.000000000000043</c:v>
                </c:pt>
                <c:pt idx="49">
                  <c:v>50.000000000000043</c:v>
                </c:pt>
                <c:pt idx="50">
                  <c:v>51.000000000000043</c:v>
                </c:pt>
                <c:pt idx="51">
                  <c:v>52.00000000000005</c:v>
                </c:pt>
                <c:pt idx="52">
                  <c:v>53.000000000000057</c:v>
                </c:pt>
                <c:pt idx="53">
                  <c:v>54.000000000000057</c:v>
                </c:pt>
                <c:pt idx="54">
                  <c:v>55.000000000000057</c:v>
                </c:pt>
                <c:pt idx="55">
                  <c:v>56.000000000000071</c:v>
                </c:pt>
                <c:pt idx="56">
                  <c:v>57.000000000000071</c:v>
                </c:pt>
              </c:numCache>
            </c:numRef>
          </c:cat>
          <c:val>
            <c:numRef>
              <c:f>ABKDIM.XLS!$I$14:$I$70</c:f>
              <c:numCache>
                <c:formatCode>0</c:formatCode>
                <c:ptCount val="57"/>
                <c:pt idx="0">
                  <c:v>100</c:v>
                </c:pt>
                <c:pt idx="1">
                  <c:v>51</c:v>
                </c:pt>
                <c:pt idx="2">
                  <c:v>34</c:v>
                </c:pt>
                <c:pt idx="3">
                  <c:v>26</c:v>
                </c:pt>
                <c:pt idx="4">
                  <c:v>21</c:v>
                </c:pt>
                <c:pt idx="5">
                  <c:v>18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1-4B5C-A452-384D65BDF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8970960"/>
        <c:axId val="1"/>
      </c:barChart>
      <c:catAx>
        <c:axId val="28897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de-DE"/>
                  <a:t>Behältergröße [m³]</a:t>
                </a:r>
              </a:p>
            </c:rich>
          </c:tx>
          <c:layout>
            <c:manualLayout>
              <c:xMode val="edge"/>
              <c:yMode val="edge"/>
              <c:x val="0.39367926566783873"/>
              <c:y val="0.901016345049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de-DE"/>
                  <a:t>Stück</a:t>
                </a:r>
              </a:p>
            </c:rich>
          </c:tx>
          <c:layout>
            <c:manualLayout>
              <c:xMode val="edge"/>
              <c:yMode val="edge"/>
              <c:x val="4.3103569233704973E-2"/>
              <c:y val="0.378173057499525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de-DE"/>
          </a:p>
        </c:txPr>
        <c:crossAx val="2889709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e-DE"/>
    </a:p>
  </c:txPr>
  <c:printSettings>
    <c:headerFooter alignWithMargins="0">
      <c:oddHeader>&amp;N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portrait" horizontalDpi="300" verticalDpi="300" copies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Univers (W1)"/>
                <a:ea typeface="Univers (W1)"/>
                <a:cs typeface="Univers (W1)"/>
              </a:defRPr>
            </a:pPr>
            <a:r>
              <a:rPr lang="de-DE"/>
              <a:t>Anlagen-Volumen (BRUTTO)</a:t>
            </a:r>
          </a:p>
        </c:rich>
      </c:tx>
      <c:layout>
        <c:manualLayout>
          <c:xMode val="edge"/>
          <c:yMode val="edge"/>
          <c:x val="0.23706929815084263"/>
          <c:y val="8.1841534428866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08076014833669"/>
          <c:y val="4.0920767214433162E-2"/>
          <c:w val="0.78017350846004574"/>
          <c:h val="0.7672643852706218"/>
        </c:manualLayout>
      </c:layout>
      <c:barChart>
        <c:barDir val="col"/>
        <c:grouping val="clustered"/>
        <c:varyColors val="0"/>
        <c:ser>
          <c:idx val="0"/>
          <c:order val="0"/>
          <c:tx>
            <c:v>m³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ABKDIM.XLS!$D$14:$D$70</c:f>
              <c:numCache>
                <c:formatCode>0</c:formatCode>
                <c:ptCount val="57"/>
                <c:pt idx="0">
                  <c:v>1.0000000000000002</c:v>
                </c:pt>
                <c:pt idx="1">
                  <c:v>2.0000000000000004</c:v>
                </c:pt>
                <c:pt idx="2">
                  <c:v>3</c:v>
                </c:pt>
                <c:pt idx="3">
                  <c:v>4.0000000000000009</c:v>
                </c:pt>
                <c:pt idx="4">
                  <c:v>5</c:v>
                </c:pt>
                <c:pt idx="5">
                  <c:v>6</c:v>
                </c:pt>
                <c:pt idx="6">
                  <c:v>6.9999999999999991</c:v>
                </c:pt>
                <c:pt idx="7">
                  <c:v>8</c:v>
                </c:pt>
                <c:pt idx="8">
                  <c:v>9</c:v>
                </c:pt>
                <c:pt idx="9">
                  <c:v>9.9999999999999982</c:v>
                </c:pt>
                <c:pt idx="10">
                  <c:v>10.999999999999998</c:v>
                </c:pt>
                <c:pt idx="11">
                  <c:v>11.999999999999998</c:v>
                </c:pt>
                <c:pt idx="12">
                  <c:v>12.999999999999996</c:v>
                </c:pt>
                <c:pt idx="13">
                  <c:v>13.999999999999996</c:v>
                </c:pt>
                <c:pt idx="14">
                  <c:v>14.999999999999996</c:v>
                </c:pt>
                <c:pt idx="15">
                  <c:v>15.999999999999998</c:v>
                </c:pt>
                <c:pt idx="16">
                  <c:v>16.999999999999996</c:v>
                </c:pt>
                <c:pt idx="17">
                  <c:v>17.999999999999996</c:v>
                </c:pt>
                <c:pt idx="18">
                  <c:v>19</c:v>
                </c:pt>
                <c:pt idx="19">
                  <c:v>19.999999999999996</c:v>
                </c:pt>
                <c:pt idx="20">
                  <c:v>20.999999999999996</c:v>
                </c:pt>
                <c:pt idx="21">
                  <c:v>21.999999999999996</c:v>
                </c:pt>
                <c:pt idx="22">
                  <c:v>22.999999999999996</c:v>
                </c:pt>
                <c:pt idx="23">
                  <c:v>23.999999999999996</c:v>
                </c:pt>
                <c:pt idx="24">
                  <c:v>24.999999999999996</c:v>
                </c:pt>
                <c:pt idx="25">
                  <c:v>25.999999999999993</c:v>
                </c:pt>
                <c:pt idx="26">
                  <c:v>26.999999999999996</c:v>
                </c:pt>
                <c:pt idx="27">
                  <c:v>27.999999999999993</c:v>
                </c:pt>
                <c:pt idx="28">
                  <c:v>28.999999999999996</c:v>
                </c:pt>
                <c:pt idx="29">
                  <c:v>29.999999999999993</c:v>
                </c:pt>
                <c:pt idx="30">
                  <c:v>30.999999999999993</c:v>
                </c:pt>
                <c:pt idx="31">
                  <c:v>31.999999999999996</c:v>
                </c:pt>
                <c:pt idx="32">
                  <c:v>32.999999999999993</c:v>
                </c:pt>
                <c:pt idx="33">
                  <c:v>33.999999999999993</c:v>
                </c:pt>
                <c:pt idx="34">
                  <c:v>34.999999999999993</c:v>
                </c:pt>
                <c:pt idx="35">
                  <c:v>35.999999999999993</c:v>
                </c:pt>
                <c:pt idx="36">
                  <c:v>36.999999999999993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41.000000000000014</c:v>
                </c:pt>
                <c:pt idx="41">
                  <c:v>42.000000000000014</c:v>
                </c:pt>
                <c:pt idx="42">
                  <c:v>43.000000000000014</c:v>
                </c:pt>
                <c:pt idx="43">
                  <c:v>44.000000000000014</c:v>
                </c:pt>
                <c:pt idx="44">
                  <c:v>45.000000000000028</c:v>
                </c:pt>
                <c:pt idx="45">
                  <c:v>46.000000000000028</c:v>
                </c:pt>
                <c:pt idx="46">
                  <c:v>47.000000000000028</c:v>
                </c:pt>
                <c:pt idx="47">
                  <c:v>48.000000000000028</c:v>
                </c:pt>
                <c:pt idx="48">
                  <c:v>49.000000000000043</c:v>
                </c:pt>
                <c:pt idx="49">
                  <c:v>50.000000000000043</c:v>
                </c:pt>
                <c:pt idx="50">
                  <c:v>51.000000000000043</c:v>
                </c:pt>
                <c:pt idx="51">
                  <c:v>52.00000000000005</c:v>
                </c:pt>
                <c:pt idx="52">
                  <c:v>53.000000000000057</c:v>
                </c:pt>
                <c:pt idx="53">
                  <c:v>54.000000000000057</c:v>
                </c:pt>
                <c:pt idx="54">
                  <c:v>55.000000000000057</c:v>
                </c:pt>
                <c:pt idx="55">
                  <c:v>56.000000000000071</c:v>
                </c:pt>
                <c:pt idx="56">
                  <c:v>57.000000000000071</c:v>
                </c:pt>
              </c:numCache>
            </c:numRef>
          </c:cat>
          <c:val>
            <c:numRef>
              <c:f>ABKDIM.XLS!$E$14:$E$70</c:f>
              <c:numCache>
                <c:formatCode>0</c:formatCode>
                <c:ptCount val="57"/>
                <c:pt idx="0">
                  <c:v>100.00000000000003</c:v>
                </c:pt>
                <c:pt idx="1">
                  <c:v>102.00000000000003</c:v>
                </c:pt>
                <c:pt idx="2">
                  <c:v>102</c:v>
                </c:pt>
                <c:pt idx="3">
                  <c:v>104.00000000000003</c:v>
                </c:pt>
                <c:pt idx="4">
                  <c:v>105</c:v>
                </c:pt>
                <c:pt idx="5">
                  <c:v>108</c:v>
                </c:pt>
                <c:pt idx="6">
                  <c:v>104.99999999999999</c:v>
                </c:pt>
                <c:pt idx="7">
                  <c:v>104</c:v>
                </c:pt>
                <c:pt idx="8">
                  <c:v>108</c:v>
                </c:pt>
                <c:pt idx="9">
                  <c:v>109.99999999999999</c:v>
                </c:pt>
                <c:pt idx="10">
                  <c:v>109.99999999999999</c:v>
                </c:pt>
                <c:pt idx="11">
                  <c:v>107.99999999999999</c:v>
                </c:pt>
                <c:pt idx="12">
                  <c:v>116.99999999999997</c:v>
                </c:pt>
                <c:pt idx="13">
                  <c:v>111.99999999999997</c:v>
                </c:pt>
                <c:pt idx="14">
                  <c:v>119.99999999999997</c:v>
                </c:pt>
                <c:pt idx="15">
                  <c:v>111.99999999999999</c:v>
                </c:pt>
                <c:pt idx="16">
                  <c:v>118.99999999999997</c:v>
                </c:pt>
                <c:pt idx="17">
                  <c:v>125.99999999999997</c:v>
                </c:pt>
                <c:pt idx="18">
                  <c:v>114</c:v>
                </c:pt>
                <c:pt idx="19">
                  <c:v>119.99999999999997</c:v>
                </c:pt>
                <c:pt idx="20">
                  <c:v>125.99999999999997</c:v>
                </c:pt>
                <c:pt idx="21">
                  <c:v>131.99999999999997</c:v>
                </c:pt>
                <c:pt idx="22">
                  <c:v>114.99999999999999</c:v>
                </c:pt>
                <c:pt idx="23">
                  <c:v>119.99999999999999</c:v>
                </c:pt>
                <c:pt idx="24">
                  <c:v>124.99999999999999</c:v>
                </c:pt>
                <c:pt idx="25">
                  <c:v>129.99999999999997</c:v>
                </c:pt>
                <c:pt idx="26">
                  <c:v>134.99999999999997</c:v>
                </c:pt>
                <c:pt idx="27">
                  <c:v>139.99999999999997</c:v>
                </c:pt>
                <c:pt idx="28">
                  <c:v>144.99999999999997</c:v>
                </c:pt>
                <c:pt idx="29">
                  <c:v>119.99999999999997</c:v>
                </c:pt>
                <c:pt idx="30">
                  <c:v>123.99999999999997</c:v>
                </c:pt>
                <c:pt idx="31">
                  <c:v>127.99999999999999</c:v>
                </c:pt>
                <c:pt idx="32">
                  <c:v>131.99999999999997</c:v>
                </c:pt>
                <c:pt idx="33">
                  <c:v>135.99999999999997</c:v>
                </c:pt>
                <c:pt idx="34">
                  <c:v>139.99999999999997</c:v>
                </c:pt>
                <c:pt idx="35">
                  <c:v>143.99999999999997</c:v>
                </c:pt>
                <c:pt idx="36">
                  <c:v>147.99999999999997</c:v>
                </c:pt>
                <c:pt idx="37">
                  <c:v>152</c:v>
                </c:pt>
                <c:pt idx="38">
                  <c:v>156</c:v>
                </c:pt>
                <c:pt idx="39">
                  <c:v>160</c:v>
                </c:pt>
                <c:pt idx="40">
                  <c:v>164.00000000000006</c:v>
                </c:pt>
                <c:pt idx="41">
                  <c:v>168.00000000000006</c:v>
                </c:pt>
                <c:pt idx="42">
                  <c:v>172.00000000000006</c:v>
                </c:pt>
                <c:pt idx="43">
                  <c:v>132.00000000000006</c:v>
                </c:pt>
                <c:pt idx="44">
                  <c:v>135.00000000000009</c:v>
                </c:pt>
                <c:pt idx="45">
                  <c:v>138.00000000000009</c:v>
                </c:pt>
                <c:pt idx="46">
                  <c:v>141.00000000000009</c:v>
                </c:pt>
                <c:pt idx="47">
                  <c:v>144.00000000000009</c:v>
                </c:pt>
                <c:pt idx="48">
                  <c:v>147.00000000000011</c:v>
                </c:pt>
                <c:pt idx="49">
                  <c:v>150.00000000000011</c:v>
                </c:pt>
                <c:pt idx="50">
                  <c:v>153.00000000000011</c:v>
                </c:pt>
                <c:pt idx="51">
                  <c:v>156.00000000000014</c:v>
                </c:pt>
                <c:pt idx="52">
                  <c:v>159.00000000000017</c:v>
                </c:pt>
                <c:pt idx="53">
                  <c:v>162.00000000000017</c:v>
                </c:pt>
                <c:pt idx="54">
                  <c:v>165.00000000000017</c:v>
                </c:pt>
                <c:pt idx="55">
                  <c:v>168.00000000000023</c:v>
                </c:pt>
                <c:pt idx="56">
                  <c:v>171.00000000000023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3-4760-8190-18F05B8AF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8967024"/>
        <c:axId val="1"/>
      </c:barChart>
      <c:catAx>
        <c:axId val="28896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de-DE"/>
                  <a:t>Behälter-Volumen (m³; Brutto)</a:t>
                </a:r>
              </a:p>
            </c:rich>
          </c:tx>
          <c:layout>
            <c:manualLayout>
              <c:xMode val="edge"/>
              <c:yMode val="edge"/>
              <c:x val="0.45546040917464919"/>
              <c:y val="0.887469138963019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de-DE"/>
                  <a:t>Anlagen-Volumen (m³; Brutto)</a:t>
                </a:r>
              </a:p>
            </c:rich>
          </c:tx>
          <c:layout>
            <c:manualLayout>
              <c:xMode val="edge"/>
              <c:yMode val="edge"/>
              <c:x val="0.13362087713956586"/>
              <c:y val="0.163683068857732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de-DE"/>
          </a:p>
        </c:txPr>
        <c:crossAx val="2889670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e-DE"/>
    </a:p>
  </c:txPr>
  <c:printSettings>
    <c:headerFooter alignWithMargins="0">
      <c:oddHeader>&amp;N</c:oddHeader>
      <c:oddFooter>Seite &amp;S</c:oddFooter>
    </c:headerFooter>
    <c:pageMargins b="0.984251969" l="0.78740157499999996" r="0.78740157499999996" t="0.984251969" header="0.51181102300000003" footer="0.51181102300000003"/>
    <c:pageSetup paperSize="9" orientation="portrait" horizontalDpi="300" verticalDpi="300" copies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3</xdr:row>
      <xdr:rowOff>0</xdr:rowOff>
    </xdr:from>
    <xdr:to>
      <xdr:col>20</xdr:col>
      <xdr:colOff>676275</xdr:colOff>
      <xdr:row>24</xdr:row>
      <xdr:rowOff>152400</xdr:rowOff>
    </xdr:to>
    <xdr:graphicFrame macro="">
      <xdr:nvGraphicFramePr>
        <xdr:cNvPr id="2049" name="Diagramm 1">
          <a:extLst>
            <a:ext uri="{FF2B5EF4-FFF2-40B4-BE49-F238E27FC236}">
              <a16:creationId xmlns:a16="http://schemas.microsoft.com/office/drawing/2014/main" id="{757576E1-24A8-D351-40E9-15307D925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3</xdr:row>
      <xdr:rowOff>0</xdr:rowOff>
    </xdr:from>
    <xdr:to>
      <xdr:col>16</xdr:col>
      <xdr:colOff>285750</xdr:colOff>
      <xdr:row>24</xdr:row>
      <xdr:rowOff>152400</xdr:rowOff>
    </xdr:to>
    <xdr:graphicFrame macro="">
      <xdr:nvGraphicFramePr>
        <xdr:cNvPr id="2053" name="Diagramm 5">
          <a:extLst>
            <a:ext uri="{FF2B5EF4-FFF2-40B4-BE49-F238E27FC236}">
              <a16:creationId xmlns:a16="http://schemas.microsoft.com/office/drawing/2014/main" id="{BED5C063-101E-DE8C-D974-8C0A5BB4D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123825</xdr:colOff>
      <xdr:row>25</xdr:row>
      <xdr:rowOff>152400</xdr:rowOff>
    </xdr:from>
    <xdr:to>
      <xdr:col>16</xdr:col>
      <xdr:colOff>276225</xdr:colOff>
      <xdr:row>48</xdr:row>
      <xdr:rowOff>152400</xdr:rowOff>
    </xdr:to>
    <xdr:graphicFrame macro="">
      <xdr:nvGraphicFramePr>
        <xdr:cNvPr id="2057" name="Diagramm 9">
          <a:extLst>
            <a:ext uri="{FF2B5EF4-FFF2-40B4-BE49-F238E27FC236}">
              <a16:creationId xmlns:a16="http://schemas.microsoft.com/office/drawing/2014/main" id="{EC5397FB-09E3-96F6-CCDC-652099281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409575</xdr:colOff>
      <xdr:row>25</xdr:row>
      <xdr:rowOff>152400</xdr:rowOff>
    </xdr:from>
    <xdr:to>
      <xdr:col>20</xdr:col>
      <xdr:colOff>676275</xdr:colOff>
      <xdr:row>49</xdr:row>
      <xdr:rowOff>9525</xdr:rowOff>
    </xdr:to>
    <xdr:graphicFrame macro="">
      <xdr:nvGraphicFramePr>
        <xdr:cNvPr id="2058" name="Diagramm 10">
          <a:extLst>
            <a:ext uri="{FF2B5EF4-FFF2-40B4-BE49-F238E27FC236}">
              <a16:creationId xmlns:a16="http://schemas.microsoft.com/office/drawing/2014/main" id="{E2537342-F029-8241-7322-DD59FE2CE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142875</xdr:colOff>
      <xdr:row>49</xdr:row>
      <xdr:rowOff>152400</xdr:rowOff>
    </xdr:from>
    <xdr:to>
      <xdr:col>20</xdr:col>
      <xdr:colOff>676275</xdr:colOff>
      <xdr:row>72</xdr:row>
      <xdr:rowOff>152400</xdr:rowOff>
    </xdr:to>
    <xdr:graphicFrame macro="">
      <xdr:nvGraphicFramePr>
        <xdr:cNvPr id="2059" name="Diagramm 11">
          <a:extLst>
            <a:ext uri="{FF2B5EF4-FFF2-40B4-BE49-F238E27FC236}">
              <a16:creationId xmlns:a16="http://schemas.microsoft.com/office/drawing/2014/main" id="{D96C32FD-A1EE-49C3-DBAB-71306B067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baseColWidth="10" defaultRowHeight="12.75" x14ac:dyDescent="0.2"/>
  <sheetData>
    <row r="1" spans="1:2" ht="15.75" x14ac:dyDescent="0.25">
      <c r="A1" t="s">
        <v>0</v>
      </c>
      <c r="B1" s="79" t="s">
        <v>176</v>
      </c>
    </row>
  </sheetData>
  <phoneticPr fontId="11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opLeftCell="A4" workbookViewId="0">
      <selection activeCell="D22" sqref="D22"/>
    </sheetView>
  </sheetViews>
  <sheetFormatPr baseColWidth="10" defaultRowHeight="12.75" x14ac:dyDescent="0.2"/>
  <cols>
    <col min="1" max="1" width="8.5703125" customWidth="1"/>
    <col min="2" max="3" width="10.7109375" customWidth="1"/>
    <col min="4" max="4" width="5.140625" customWidth="1"/>
  </cols>
  <sheetData>
    <row r="1" spans="1:4" ht="19.5" x14ac:dyDescent="0.35">
      <c r="A1" s="82" t="s">
        <v>1</v>
      </c>
      <c r="B1" s="82"/>
      <c r="C1" s="82"/>
      <c r="D1" s="82"/>
    </row>
    <row r="2" spans="1:4" ht="19.5" x14ac:dyDescent="0.35">
      <c r="A2" s="82" t="s">
        <v>2</v>
      </c>
      <c r="B2" s="82"/>
      <c r="C2" s="82"/>
      <c r="D2" s="82"/>
    </row>
    <row r="3" spans="1:4" ht="19.5" x14ac:dyDescent="0.35">
      <c r="A3" s="82" t="s">
        <v>3</v>
      </c>
      <c r="B3" s="82"/>
      <c r="C3" s="82"/>
      <c r="D3" s="82"/>
    </row>
    <row r="4" spans="1:4" x14ac:dyDescent="0.2">
      <c r="A4" s="2"/>
      <c r="B4" s="2"/>
      <c r="C4" s="2"/>
      <c r="D4" s="2"/>
    </row>
    <row r="5" spans="1:4" ht="16.5" thickBot="1" x14ac:dyDescent="0.3">
      <c r="A5" s="80" t="str">
        <f>Projekt!B1</f>
        <v>xXx</v>
      </c>
      <c r="B5" s="80"/>
      <c r="C5" s="80"/>
      <c r="D5" s="80"/>
    </row>
    <row r="6" spans="1:4" x14ac:dyDescent="0.2">
      <c r="A6" s="3"/>
      <c r="B6" s="4" t="s">
        <v>4</v>
      </c>
      <c r="C6" s="4"/>
      <c r="D6" s="3"/>
    </row>
    <row r="7" spans="1:4" x14ac:dyDescent="0.2">
      <c r="A7" s="5"/>
      <c r="B7" s="5" t="s">
        <v>5</v>
      </c>
      <c r="C7" s="5" t="s">
        <v>6</v>
      </c>
      <c r="D7" s="5"/>
    </row>
    <row r="8" spans="1:4" x14ac:dyDescent="0.2">
      <c r="A8" s="6" t="s">
        <v>7</v>
      </c>
      <c r="B8" s="7">
        <v>100</v>
      </c>
      <c r="C8" s="7">
        <v>50</v>
      </c>
      <c r="D8" s="7" t="s">
        <v>8</v>
      </c>
    </row>
    <row r="9" spans="1:4" x14ac:dyDescent="0.2">
      <c r="A9" s="6"/>
      <c r="B9" s="8">
        <f>B8*37000000</f>
        <v>3700000000</v>
      </c>
      <c r="C9" s="8">
        <f>C8*37000000</f>
        <v>1850000000</v>
      </c>
      <c r="D9" s="7" t="s">
        <v>9</v>
      </c>
    </row>
    <row r="10" spans="1:4" ht="13.5" thickBot="1" x14ac:dyDescent="0.25">
      <c r="A10" s="9" t="s">
        <v>10</v>
      </c>
      <c r="B10" s="10">
        <v>5</v>
      </c>
      <c r="C10" s="10">
        <v>5</v>
      </c>
      <c r="D10" s="10" t="s">
        <v>11</v>
      </c>
    </row>
    <row r="11" spans="1:4" ht="13.5" thickBot="1" x14ac:dyDescent="0.25">
      <c r="A11" s="11"/>
      <c r="B11" s="12"/>
      <c r="C11" s="12"/>
    </row>
    <row r="12" spans="1:4" x14ac:dyDescent="0.2">
      <c r="A12" s="13"/>
      <c r="B12" s="14" t="s">
        <v>12</v>
      </c>
      <c r="C12" s="15"/>
      <c r="D12" s="13"/>
    </row>
    <row r="13" spans="1:4" ht="13.5" thickBot="1" x14ac:dyDescent="0.25">
      <c r="A13" s="9" t="s">
        <v>13</v>
      </c>
      <c r="B13" s="10">
        <v>6</v>
      </c>
      <c r="C13" s="10">
        <v>6</v>
      </c>
      <c r="D13" s="10"/>
    </row>
    <row r="14" spans="1:4" ht="13.5" thickBot="1" x14ac:dyDescent="0.25">
      <c r="A14" s="11"/>
    </row>
    <row r="15" spans="1:4" x14ac:dyDescent="0.2">
      <c r="A15" s="16"/>
      <c r="B15" s="4" t="s">
        <v>14</v>
      </c>
      <c r="C15" s="4"/>
      <c r="D15" s="17"/>
    </row>
    <row r="16" spans="1:4" x14ac:dyDescent="0.2">
      <c r="A16" s="18"/>
      <c r="B16" s="5" t="s">
        <v>5</v>
      </c>
      <c r="C16" s="5" t="s">
        <v>6</v>
      </c>
      <c r="D16" s="5"/>
    </row>
    <row r="17" spans="1:5" x14ac:dyDescent="0.2">
      <c r="A17" s="19" t="s">
        <v>13</v>
      </c>
      <c r="B17" s="20">
        <f>365/B10*B13</f>
        <v>438</v>
      </c>
      <c r="C17" s="20">
        <f>365/C10*C13</f>
        <v>438</v>
      </c>
      <c r="D17" s="7"/>
    </row>
    <row r="18" spans="1:5" ht="13.5" thickBot="1" x14ac:dyDescent="0.25">
      <c r="A18" s="21" t="s">
        <v>7</v>
      </c>
      <c r="B18" s="22">
        <f>B17*B9</f>
        <v>1620600000000</v>
      </c>
      <c r="C18" s="22">
        <f>C17*C9</f>
        <v>810300000000</v>
      </c>
      <c r="D18" s="23" t="s">
        <v>9</v>
      </c>
    </row>
    <row r="19" spans="1:5" ht="13.5" thickBot="1" x14ac:dyDescent="0.25">
      <c r="A19" s="11"/>
      <c r="B19" s="12"/>
      <c r="C19" s="12"/>
    </row>
    <row r="20" spans="1:5" x14ac:dyDescent="0.2">
      <c r="A20" s="13"/>
      <c r="B20" s="24" t="s">
        <v>15</v>
      </c>
      <c r="C20" s="24"/>
      <c r="D20" s="13"/>
    </row>
    <row r="21" spans="1:5" x14ac:dyDescent="0.2">
      <c r="A21" s="6" t="s">
        <v>13</v>
      </c>
      <c r="B21" s="7"/>
      <c r="C21" s="25">
        <f>B17+C17</f>
        <v>876</v>
      </c>
      <c r="D21" s="7"/>
    </row>
    <row r="22" spans="1:5" ht="13.5" thickBot="1" x14ac:dyDescent="0.25">
      <c r="A22" s="9" t="s">
        <v>7</v>
      </c>
      <c r="B22" s="10"/>
      <c r="C22" s="26">
        <f>B18+C18</f>
        <v>2430900000000</v>
      </c>
      <c r="D22" s="10" t="s">
        <v>9</v>
      </c>
      <c r="E22" s="65">
        <f>C22/1000000000</f>
        <v>2430.9</v>
      </c>
    </row>
    <row r="23" spans="1:5" x14ac:dyDescent="0.2">
      <c r="A23" s="6"/>
      <c r="B23" s="7"/>
      <c r="C23" s="8">
        <f>C22/365</f>
        <v>6660000000</v>
      </c>
      <c r="D23" s="6" t="s">
        <v>170</v>
      </c>
    </row>
    <row r="24" spans="1:5" x14ac:dyDescent="0.2">
      <c r="C24" s="12">
        <f>C22/ABWASSER!E30</f>
        <v>13202809.349393951</v>
      </c>
      <c r="D24" t="s">
        <v>169</v>
      </c>
    </row>
    <row r="28" spans="1:5" x14ac:dyDescent="0.2">
      <c r="C28" s="172"/>
    </row>
  </sheetData>
  <phoneticPr fontId="11" type="noConversion"/>
  <printOptions horizontalCentered="1" verticalCentered="1" gridLinesSet="0"/>
  <pageMargins left="0.78740157480314965" right="0.78740157480314965" top="1.3779527559055118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opLeftCell="A3" zoomScale="85" workbookViewId="0">
      <selection activeCell="G18" sqref="G18"/>
    </sheetView>
  </sheetViews>
  <sheetFormatPr baseColWidth="10" defaultRowHeight="12.75" x14ac:dyDescent="0.2"/>
  <cols>
    <col min="1" max="1" width="17.140625" customWidth="1"/>
    <col min="2" max="2" width="9.85546875" customWidth="1"/>
    <col min="3" max="3" width="10.28515625" style="1" customWidth="1"/>
    <col min="4" max="4" width="9.7109375" style="1" customWidth="1"/>
    <col min="5" max="5" width="11" customWidth="1"/>
    <col min="6" max="6" width="8.85546875" customWidth="1"/>
  </cols>
  <sheetData>
    <row r="1" spans="1:6" s="140" customFormat="1" ht="15.75" x14ac:dyDescent="0.25">
      <c r="A1" s="104" t="s">
        <v>1</v>
      </c>
      <c r="B1" s="104"/>
      <c r="C1" s="104"/>
      <c r="D1" s="104"/>
      <c r="E1" s="104"/>
      <c r="F1" s="104"/>
    </row>
    <row r="2" spans="1:6" s="139" customFormat="1" ht="20.25" x14ac:dyDescent="0.3">
      <c r="A2" s="138" t="s">
        <v>16</v>
      </c>
      <c r="B2" s="138"/>
      <c r="C2" s="138"/>
      <c r="D2" s="138"/>
      <c r="E2" s="138"/>
      <c r="F2" s="138"/>
    </row>
    <row r="3" spans="1:6" s="141" customFormat="1" ht="19.5" x14ac:dyDescent="0.35">
      <c r="A3" s="103" t="str">
        <f>Projekt!B1</f>
        <v>xXx</v>
      </c>
      <c r="B3" s="103"/>
      <c r="C3" s="103"/>
      <c r="D3" s="103"/>
      <c r="E3" s="103"/>
      <c r="F3" s="103"/>
    </row>
    <row r="4" spans="1:6" ht="15" x14ac:dyDescent="0.25">
      <c r="A4" s="105" t="s">
        <v>17</v>
      </c>
      <c r="B4" s="106" t="s">
        <v>18</v>
      </c>
      <c r="C4" s="106" t="s">
        <v>19</v>
      </c>
      <c r="D4" s="106"/>
      <c r="E4" s="106" t="s">
        <v>20</v>
      </c>
      <c r="F4" s="107" t="s">
        <v>21</v>
      </c>
    </row>
    <row r="5" spans="1:6" ht="15" x14ac:dyDescent="0.25">
      <c r="A5" s="108"/>
      <c r="B5" s="109" t="s">
        <v>21</v>
      </c>
      <c r="C5" s="109" t="s">
        <v>22</v>
      </c>
      <c r="D5" s="109" t="s">
        <v>23</v>
      </c>
      <c r="E5" s="109" t="s">
        <v>21</v>
      </c>
      <c r="F5" s="110" t="s">
        <v>24</v>
      </c>
    </row>
    <row r="6" spans="1:6" ht="15" x14ac:dyDescent="0.25">
      <c r="A6" s="108"/>
      <c r="B6" s="109" t="s">
        <v>25</v>
      </c>
      <c r="C6" s="109" t="s">
        <v>26</v>
      </c>
      <c r="D6" s="109" t="s">
        <v>13</v>
      </c>
      <c r="E6" s="109" t="s">
        <v>26</v>
      </c>
      <c r="F6" s="110" t="s">
        <v>27</v>
      </c>
    </row>
    <row r="7" spans="1:6" x14ac:dyDescent="0.2">
      <c r="A7" s="111"/>
      <c r="B7" s="112" t="s">
        <v>28</v>
      </c>
      <c r="C7" s="113"/>
      <c r="D7" s="113"/>
      <c r="E7" s="112" t="s">
        <v>29</v>
      </c>
      <c r="F7" s="114" t="s">
        <v>29</v>
      </c>
    </row>
    <row r="8" spans="1:6" x14ac:dyDescent="0.2">
      <c r="A8" s="136" t="s">
        <v>30</v>
      </c>
      <c r="B8" s="113"/>
      <c r="C8" s="113"/>
      <c r="D8" s="113"/>
      <c r="E8" s="112"/>
      <c r="F8" s="114"/>
    </row>
    <row r="9" spans="1:6" x14ac:dyDescent="0.2">
      <c r="A9" s="115" t="s">
        <v>4</v>
      </c>
      <c r="B9" s="116">
        <v>2</v>
      </c>
      <c r="C9" s="117">
        <v>8</v>
      </c>
      <c r="D9" s="118">
        <f>AKTIV.XLS!B13+AKTIV.XLS!C13</f>
        <v>12</v>
      </c>
      <c r="E9" s="119">
        <f>B9*C9*AnzPatienten_Therapie</f>
        <v>192</v>
      </c>
      <c r="F9" s="120">
        <f>E9/AnzPatienten_Therapie</f>
        <v>16</v>
      </c>
    </row>
    <row r="10" spans="1:6" x14ac:dyDescent="0.2">
      <c r="A10" s="115" t="s">
        <v>31</v>
      </c>
      <c r="B10" s="121">
        <v>25</v>
      </c>
      <c r="C10" s="112">
        <v>2</v>
      </c>
      <c r="D10" s="122"/>
      <c r="E10" s="119">
        <f>B10*C10*(AnzPatienten_Therapie*0.01)</f>
        <v>6</v>
      </c>
      <c r="F10" s="120">
        <f>E10/AnzPatienten_Therapie</f>
        <v>0.5</v>
      </c>
    </row>
    <row r="11" spans="1:6" x14ac:dyDescent="0.2">
      <c r="A11" s="115" t="s">
        <v>32</v>
      </c>
      <c r="B11" s="121"/>
      <c r="C11" s="112"/>
      <c r="D11" s="122"/>
      <c r="E11" s="119"/>
      <c r="F11" s="120"/>
    </row>
    <row r="12" spans="1:6" x14ac:dyDescent="0.2">
      <c r="A12" s="115"/>
      <c r="B12" s="121"/>
      <c r="C12" s="112"/>
      <c r="D12" s="122"/>
      <c r="E12" s="119"/>
      <c r="F12" s="120"/>
    </row>
    <row r="13" spans="1:6" x14ac:dyDescent="0.2">
      <c r="A13" s="115" t="s">
        <v>33</v>
      </c>
      <c r="B13" s="121">
        <v>0.6</v>
      </c>
      <c r="C13" s="112">
        <v>6</v>
      </c>
      <c r="D13" s="122"/>
      <c r="E13" s="119">
        <f>B13*C13*AnzPatienten_Therapie</f>
        <v>43.199999999999996</v>
      </c>
      <c r="F13" s="120">
        <f>E13/AnzPatienten_Therapie</f>
        <v>3.5999999999999996</v>
      </c>
    </row>
    <row r="14" spans="1:6" x14ac:dyDescent="0.2">
      <c r="A14" s="123" t="s">
        <v>34</v>
      </c>
      <c r="B14" s="121">
        <v>2</v>
      </c>
      <c r="C14" s="112">
        <v>2</v>
      </c>
      <c r="D14" s="122"/>
      <c r="E14" s="119">
        <f>B14*C14*AnzPatienten_Therapie</f>
        <v>48</v>
      </c>
      <c r="F14" s="120">
        <f>E14/AnzPatienten_Therapie</f>
        <v>4</v>
      </c>
    </row>
    <row r="15" spans="1:6" x14ac:dyDescent="0.2">
      <c r="A15" s="115"/>
      <c r="B15" s="121"/>
      <c r="C15" s="112"/>
      <c r="D15" s="122"/>
      <c r="E15" s="119"/>
      <c r="F15" s="120"/>
    </row>
    <row r="16" spans="1:6" x14ac:dyDescent="0.2">
      <c r="A16" s="115" t="s">
        <v>35</v>
      </c>
      <c r="B16" s="124">
        <v>20</v>
      </c>
      <c r="C16" s="125">
        <v>0.5</v>
      </c>
      <c r="D16" s="126"/>
      <c r="E16" s="119">
        <f>B16*C16*AnzPatienten_Therapie</f>
        <v>120</v>
      </c>
      <c r="F16" s="120">
        <f>E16/AnzPatienten_Therapie</f>
        <v>10</v>
      </c>
    </row>
    <row r="17" spans="1:7" x14ac:dyDescent="0.2">
      <c r="A17" s="123" t="s">
        <v>36</v>
      </c>
      <c r="B17" s="112"/>
      <c r="C17" s="112"/>
      <c r="D17" s="112"/>
      <c r="E17" s="119"/>
      <c r="F17" s="120"/>
    </row>
    <row r="18" spans="1:7" x14ac:dyDescent="0.2">
      <c r="A18" s="127" t="s">
        <v>37</v>
      </c>
      <c r="B18" s="128"/>
      <c r="C18" s="128"/>
      <c r="D18" s="128"/>
      <c r="E18" s="129">
        <f>SUM(E9:E16)</f>
        <v>409.2</v>
      </c>
      <c r="F18" s="130">
        <f>E18/AnzPatienten_Therapie</f>
        <v>34.1</v>
      </c>
      <c r="G18">
        <f>IF(E16&lt;E9,E18-E16,E18-E9)</f>
        <v>289.2</v>
      </c>
    </row>
    <row r="19" spans="1:7" x14ac:dyDescent="0.2">
      <c r="A19" s="131"/>
      <c r="B19" s="132"/>
      <c r="C19" s="132"/>
      <c r="D19" s="132"/>
      <c r="E19" s="133"/>
      <c r="F19" s="134"/>
    </row>
    <row r="20" spans="1:7" x14ac:dyDescent="0.2">
      <c r="A20" s="115" t="s">
        <v>38</v>
      </c>
      <c r="B20" s="116">
        <v>2</v>
      </c>
      <c r="C20" s="117">
        <v>1</v>
      </c>
      <c r="D20" s="118">
        <v>0</v>
      </c>
      <c r="E20" s="119">
        <f>B20*C20*AnzPatienten_Diagnostik</f>
        <v>0</v>
      </c>
      <c r="F20" s="120"/>
    </row>
    <row r="21" spans="1:7" x14ac:dyDescent="0.2">
      <c r="A21" s="115"/>
      <c r="B21" s="121"/>
      <c r="C21" s="112"/>
      <c r="D21" s="122" t="s">
        <v>39</v>
      </c>
      <c r="E21" s="119"/>
      <c r="F21" s="120"/>
    </row>
    <row r="22" spans="1:7" x14ac:dyDescent="0.2">
      <c r="A22" s="115"/>
      <c r="B22" s="121"/>
      <c r="C22" s="112"/>
      <c r="D22" s="122" t="s">
        <v>40</v>
      </c>
      <c r="E22" s="119"/>
      <c r="F22" s="120"/>
    </row>
    <row r="23" spans="1:7" x14ac:dyDescent="0.2">
      <c r="A23" s="115" t="s">
        <v>41</v>
      </c>
      <c r="B23" s="121">
        <v>20</v>
      </c>
      <c r="C23" s="135">
        <f>D9/D23</f>
        <v>1.3333333333333333</v>
      </c>
      <c r="D23" s="122">
        <v>9</v>
      </c>
      <c r="E23" s="119">
        <f>B23*C23</f>
        <v>26.666666666666664</v>
      </c>
      <c r="F23" s="120">
        <f>E23/D9</f>
        <v>2.2222222222222219</v>
      </c>
    </row>
    <row r="24" spans="1:7" x14ac:dyDescent="0.2">
      <c r="A24" s="115" t="s">
        <v>42</v>
      </c>
      <c r="B24" s="121">
        <v>65</v>
      </c>
      <c r="C24" s="135">
        <f>D9/7*1/D24</f>
        <v>0.68571428571428572</v>
      </c>
      <c r="D24" s="122">
        <v>2.5</v>
      </c>
      <c r="E24" s="119">
        <f>B24*C24</f>
        <v>44.571428571428569</v>
      </c>
      <c r="F24" s="120">
        <f>E24/D9</f>
        <v>3.714285714285714</v>
      </c>
    </row>
    <row r="25" spans="1:7" x14ac:dyDescent="0.2">
      <c r="A25" s="115" t="s">
        <v>43</v>
      </c>
      <c r="B25" s="121">
        <v>20</v>
      </c>
      <c r="C25" s="112">
        <f>D9/D25</f>
        <v>1.2</v>
      </c>
      <c r="D25" s="122">
        <v>10</v>
      </c>
      <c r="E25" s="119">
        <f>B25*C25</f>
        <v>24</v>
      </c>
      <c r="F25" s="120"/>
    </row>
    <row r="26" spans="1:7" x14ac:dyDescent="0.2">
      <c r="A26" s="115"/>
      <c r="B26" s="124"/>
      <c r="C26" s="125"/>
      <c r="D26" s="126"/>
      <c r="E26" s="119"/>
      <c r="F26" s="120"/>
    </row>
    <row r="27" spans="1:7" x14ac:dyDescent="0.2">
      <c r="A27" s="127" t="s">
        <v>44</v>
      </c>
      <c r="B27" s="128"/>
      <c r="C27" s="128"/>
      <c r="D27" s="128"/>
      <c r="E27" s="129">
        <f>E18+SUM(E20:E25)</f>
        <v>504.43809523809523</v>
      </c>
      <c r="F27" s="130">
        <f>E27/D9</f>
        <v>42.036507936507938</v>
      </c>
      <c r="G27" s="58">
        <f>E27-(E18-G18)</f>
        <v>384.43809523809523</v>
      </c>
    </row>
    <row r="28" spans="1:7" x14ac:dyDescent="0.2">
      <c r="E28" s="137"/>
      <c r="F28" s="137" t="s">
        <v>45</v>
      </c>
    </row>
    <row r="30" spans="1:7" x14ac:dyDescent="0.2">
      <c r="D30" s="1" t="s">
        <v>167</v>
      </c>
      <c r="E30" s="65">
        <f>E27*365</f>
        <v>184119.90476190476</v>
      </c>
      <c r="F30" t="s">
        <v>29</v>
      </c>
    </row>
    <row r="31" spans="1:7" x14ac:dyDescent="0.2">
      <c r="E31" s="177">
        <f>E30/1000</f>
        <v>184.11990476190476</v>
      </c>
      <c r="F31" t="s">
        <v>168</v>
      </c>
    </row>
    <row r="32" spans="1:7" x14ac:dyDescent="0.2">
      <c r="E32" s="172">
        <f>E27/15</f>
        <v>33.629206349206349</v>
      </c>
      <c r="F32" t="s">
        <v>171</v>
      </c>
      <c r="G32" t="s">
        <v>172</v>
      </c>
    </row>
    <row r="34" spans="4:6" x14ac:dyDescent="0.2">
      <c r="D34" s="1" t="s">
        <v>173</v>
      </c>
      <c r="E34">
        <v>3</v>
      </c>
      <c r="F34" t="s">
        <v>174</v>
      </c>
    </row>
  </sheetData>
  <phoneticPr fontId="11" type="noConversion"/>
  <printOptions horizontalCentered="1" verticalCentered="1" gridLinesSet="0"/>
  <pageMargins left="0.78740157480314965" right="0.78740157480314965" top="1.3779527559055118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zoomScale="75" workbookViewId="0">
      <selection activeCell="A2" sqref="A2:H2"/>
    </sheetView>
  </sheetViews>
  <sheetFormatPr baseColWidth="10" defaultRowHeight="12.75" x14ac:dyDescent="0.2"/>
  <cols>
    <col min="1" max="1" width="16.5703125" customWidth="1"/>
    <col min="2" max="2" width="8.5703125" customWidth="1"/>
    <col min="3" max="3" width="11.140625" customWidth="1"/>
    <col min="4" max="4" width="9.5703125" customWidth="1"/>
    <col min="5" max="5" width="9.140625" style="58" customWidth="1"/>
    <col min="8" max="8" width="8.7109375" style="1" customWidth="1"/>
  </cols>
  <sheetData>
    <row r="1" spans="1:8" ht="19.5" x14ac:dyDescent="0.35">
      <c r="A1" s="178" t="s">
        <v>175</v>
      </c>
      <c r="B1" s="178"/>
      <c r="C1" s="178"/>
      <c r="D1" s="178"/>
      <c r="E1" s="178"/>
      <c r="F1" s="178"/>
      <c r="G1" s="178"/>
      <c r="H1" s="178"/>
    </row>
    <row r="2" spans="1:8" ht="19.5" x14ac:dyDescent="0.35">
      <c r="A2" s="178" t="s">
        <v>116</v>
      </c>
      <c r="B2" s="178"/>
      <c r="C2" s="178"/>
      <c r="D2" s="178"/>
      <c r="E2" s="178"/>
      <c r="F2" s="178"/>
      <c r="G2" s="178"/>
      <c r="H2" s="178"/>
    </row>
    <row r="3" spans="1:8" ht="19.5" x14ac:dyDescent="0.35">
      <c r="A3" s="160"/>
      <c r="B3" s="160"/>
      <c r="C3" s="160"/>
      <c r="D3" s="160"/>
      <c r="E3" s="160"/>
      <c r="F3" s="160"/>
      <c r="G3" s="160"/>
      <c r="H3" s="160"/>
    </row>
    <row r="4" spans="1:8" ht="23.25" x14ac:dyDescent="0.35">
      <c r="A4" s="181" t="s">
        <v>117</v>
      </c>
      <c r="B4" s="181"/>
      <c r="C4" s="181"/>
      <c r="D4" s="181"/>
      <c r="E4" s="181"/>
      <c r="F4" s="181"/>
      <c r="G4" s="181"/>
      <c r="H4" s="181"/>
    </row>
    <row r="8" spans="1:8" ht="19.5" x14ac:dyDescent="0.35">
      <c r="A8" s="178" t="s">
        <v>111</v>
      </c>
      <c r="B8" s="178"/>
      <c r="C8" s="178"/>
      <c r="D8" s="178"/>
      <c r="E8" s="178"/>
      <c r="F8" s="178"/>
      <c r="G8" s="178"/>
      <c r="H8" s="178"/>
    </row>
    <row r="9" spans="1:8" ht="19.5" x14ac:dyDescent="0.35">
      <c r="A9" s="178" t="s">
        <v>112</v>
      </c>
      <c r="B9" s="178"/>
      <c r="C9" s="178"/>
      <c r="D9" s="178"/>
      <c r="E9" s="178"/>
      <c r="F9" s="178"/>
      <c r="G9" s="178"/>
      <c r="H9" s="178"/>
    </row>
    <row r="10" spans="1:8" x14ac:dyDescent="0.2">
      <c r="A10" s="159" t="s">
        <v>51</v>
      </c>
      <c r="B10" s="54"/>
    </row>
    <row r="11" spans="1:8" x14ac:dyDescent="0.2">
      <c r="A11" t="s">
        <v>120</v>
      </c>
      <c r="B11" s="53">
        <v>0.84099999999999997</v>
      </c>
      <c r="C11" s="69">
        <f>$B$11/20</f>
        <v>4.2049999999999997E-2</v>
      </c>
      <c r="D11" s="69">
        <f>$B$11/20</f>
        <v>4.2049999999999997E-2</v>
      </c>
      <c r="E11" s="1" t="s">
        <v>140</v>
      </c>
      <c r="F11" s="1" t="s">
        <v>140</v>
      </c>
      <c r="G11" s="1"/>
    </row>
    <row r="12" spans="1:8" x14ac:dyDescent="0.2">
      <c r="A12" t="s">
        <v>108</v>
      </c>
      <c r="B12" s="1" t="s">
        <v>54</v>
      </c>
      <c r="C12" s="162" t="s">
        <v>135</v>
      </c>
      <c r="D12" s="162" t="s">
        <v>136</v>
      </c>
      <c r="E12" s="162" t="s">
        <v>138</v>
      </c>
      <c r="F12" s="1" t="s">
        <v>139</v>
      </c>
      <c r="G12" s="1"/>
    </row>
    <row r="13" spans="1:8" x14ac:dyDescent="0.2">
      <c r="A13" t="s">
        <v>119</v>
      </c>
      <c r="B13" s="1">
        <v>8.0399999999999991</v>
      </c>
      <c r="C13" s="162" t="s">
        <v>141</v>
      </c>
      <c r="D13" s="162" t="s">
        <v>142</v>
      </c>
      <c r="E13" s="162" t="s">
        <v>143</v>
      </c>
      <c r="F13" s="1" t="s">
        <v>144</v>
      </c>
      <c r="G13" s="1"/>
    </row>
    <row r="14" spans="1:8" x14ac:dyDescent="0.2">
      <c r="A14" t="s">
        <v>121</v>
      </c>
      <c r="B14" s="1">
        <v>7000</v>
      </c>
      <c r="C14" s="165">
        <v>50000</v>
      </c>
      <c r="D14" s="165">
        <v>200000</v>
      </c>
      <c r="E14" s="165">
        <v>300000</v>
      </c>
      <c r="F14" s="43">
        <v>300000</v>
      </c>
      <c r="G14" s="1"/>
    </row>
    <row r="15" spans="1:8" x14ac:dyDescent="0.2">
      <c r="B15" s="1"/>
      <c r="C15" s="162"/>
      <c r="D15" s="162"/>
      <c r="E15" s="162"/>
      <c r="F15" s="1"/>
      <c r="G15" s="1"/>
    </row>
    <row r="16" spans="1:8" x14ac:dyDescent="0.2">
      <c r="A16" t="s">
        <v>122</v>
      </c>
      <c r="B16" s="43">
        <v>20700000000</v>
      </c>
      <c r="C16" s="164">
        <v>185000000</v>
      </c>
      <c r="D16" s="164">
        <v>150000000</v>
      </c>
      <c r="E16" s="165">
        <v>75000000</v>
      </c>
      <c r="F16" s="43">
        <v>18500000</v>
      </c>
      <c r="G16" s="1"/>
    </row>
    <row r="17" spans="1:9" x14ac:dyDescent="0.2">
      <c r="A17" t="s">
        <v>123</v>
      </c>
      <c r="B17" s="43">
        <f>B16/$B$11</f>
        <v>24613555291.319859</v>
      </c>
      <c r="C17" s="43">
        <f>C16/$B$11</f>
        <v>219976218.78715816</v>
      </c>
      <c r="D17" s="43">
        <f>D16/$B$11</f>
        <v>178359096.313912</v>
      </c>
      <c r="E17" s="43">
        <f>E16/$B$11</f>
        <v>89179548.156956002</v>
      </c>
      <c r="F17" s="43">
        <f>F16/$B$11</f>
        <v>21997621.878715817</v>
      </c>
      <c r="G17" s="1"/>
    </row>
    <row r="18" spans="1:9" x14ac:dyDescent="0.2">
      <c r="A18" t="s">
        <v>71</v>
      </c>
      <c r="B18" s="167">
        <f>B17/B14</f>
        <v>3516222.1844742657</v>
      </c>
      <c r="C18" s="167">
        <f>C17/C14</f>
        <v>4399.5243757431635</v>
      </c>
      <c r="D18" s="167">
        <f>D17/D14</f>
        <v>891.79548156956002</v>
      </c>
      <c r="E18" s="167">
        <f>E17/E14</f>
        <v>297.26516052318669</v>
      </c>
      <c r="F18" s="167">
        <f>F17/F14</f>
        <v>73.325406262386053</v>
      </c>
      <c r="G18" s="1"/>
    </row>
    <row r="19" spans="1:9" x14ac:dyDescent="0.2">
      <c r="B19" s="12"/>
    </row>
    <row r="20" spans="1:9" x14ac:dyDescent="0.2">
      <c r="B20" s="180" t="s">
        <v>21</v>
      </c>
      <c r="C20" s="180"/>
    </row>
    <row r="21" spans="1:9" x14ac:dyDescent="0.2">
      <c r="A21" s="54" t="s">
        <v>105</v>
      </c>
      <c r="B21" s="1" t="s">
        <v>73</v>
      </c>
      <c r="C21" s="1" t="s">
        <v>106</v>
      </c>
      <c r="D21" s="1"/>
      <c r="E21" s="33" t="s">
        <v>66</v>
      </c>
      <c r="F21" s="180" t="s">
        <v>110</v>
      </c>
      <c r="G21" s="180"/>
      <c r="H21" s="1" t="s">
        <v>81</v>
      </c>
    </row>
    <row r="22" spans="1:9" x14ac:dyDescent="0.2">
      <c r="B22" s="180" t="s">
        <v>107</v>
      </c>
      <c r="C22" s="180"/>
      <c r="D22" s="1"/>
      <c r="E22" s="33" t="s">
        <v>57</v>
      </c>
      <c r="F22" s="1" t="s">
        <v>9</v>
      </c>
      <c r="G22" s="1" t="s">
        <v>109</v>
      </c>
      <c r="H22" s="1" t="s">
        <v>57</v>
      </c>
    </row>
    <row r="23" spans="1:9" x14ac:dyDescent="0.2">
      <c r="A23">
        <v>1</v>
      </c>
      <c r="B23" s="1">
        <v>25</v>
      </c>
      <c r="C23" s="1">
        <v>21.3</v>
      </c>
      <c r="D23" s="161">
        <v>0.85</v>
      </c>
      <c r="E23" s="33">
        <f t="shared" ref="E23:E30" si="0">C23/B$11</f>
        <v>25.326991676575506</v>
      </c>
      <c r="F23" s="43">
        <v>213000000000</v>
      </c>
      <c r="G23" s="43">
        <v>10000000000</v>
      </c>
      <c r="H23" s="1">
        <v>164.4</v>
      </c>
      <c r="I23" t="s">
        <v>145</v>
      </c>
    </row>
    <row r="24" spans="1:9" x14ac:dyDescent="0.2">
      <c r="A24">
        <v>2</v>
      </c>
      <c r="B24" s="1">
        <v>25</v>
      </c>
      <c r="C24" s="1">
        <v>21.3</v>
      </c>
      <c r="D24" s="161">
        <v>0.85</v>
      </c>
      <c r="E24" s="33">
        <f t="shared" si="0"/>
        <v>25.326991676575506</v>
      </c>
      <c r="F24" s="43">
        <v>213000000000</v>
      </c>
      <c r="G24" s="43">
        <v>10000000000</v>
      </c>
      <c r="H24" s="1">
        <v>164.4</v>
      </c>
      <c r="I24" t="s">
        <v>145</v>
      </c>
    </row>
    <row r="25" spans="1:9" x14ac:dyDescent="0.2">
      <c r="A25">
        <v>3</v>
      </c>
      <c r="B25" s="1">
        <v>25</v>
      </c>
      <c r="C25" s="1">
        <v>21.3</v>
      </c>
      <c r="D25" s="161">
        <v>0.85</v>
      </c>
      <c r="E25" s="33">
        <f t="shared" si="0"/>
        <v>25.326991676575506</v>
      </c>
      <c r="F25" s="43">
        <v>213000000000</v>
      </c>
      <c r="G25" s="43">
        <v>10000000000</v>
      </c>
      <c r="H25" s="1">
        <v>164.4</v>
      </c>
      <c r="I25" t="s">
        <v>145</v>
      </c>
    </row>
    <row r="26" spans="1:9" x14ac:dyDescent="0.2">
      <c r="A26">
        <v>4</v>
      </c>
      <c r="B26" s="1">
        <v>25</v>
      </c>
      <c r="C26" s="1">
        <v>21.3</v>
      </c>
      <c r="D26" s="161">
        <v>0.85</v>
      </c>
      <c r="E26" s="33">
        <f t="shared" si="0"/>
        <v>25.326991676575506</v>
      </c>
      <c r="F26" s="43">
        <v>213000000000</v>
      </c>
      <c r="G26" s="43">
        <v>10000000000</v>
      </c>
      <c r="H26" s="1">
        <v>164.4</v>
      </c>
      <c r="I26" t="s">
        <v>145</v>
      </c>
    </row>
    <row r="27" spans="1:9" x14ac:dyDescent="0.2">
      <c r="A27">
        <v>5</v>
      </c>
      <c r="B27" s="1">
        <v>25</v>
      </c>
      <c r="C27" s="1">
        <v>21.3</v>
      </c>
      <c r="D27" s="161">
        <v>0.85</v>
      </c>
      <c r="E27" s="33">
        <f t="shared" si="0"/>
        <v>25.326991676575506</v>
      </c>
      <c r="F27" s="43">
        <v>213000000000</v>
      </c>
      <c r="G27" s="43">
        <v>10000000000</v>
      </c>
      <c r="H27" s="1">
        <v>164.4</v>
      </c>
      <c r="I27" t="s">
        <v>145</v>
      </c>
    </row>
    <row r="28" spans="1:9" x14ac:dyDescent="0.2">
      <c r="A28">
        <v>6</v>
      </c>
      <c r="B28" s="1">
        <v>25</v>
      </c>
      <c r="C28" s="1">
        <v>21.3</v>
      </c>
      <c r="D28" s="161">
        <v>0.85</v>
      </c>
      <c r="E28" s="33">
        <f t="shared" si="0"/>
        <v>25.326991676575506</v>
      </c>
      <c r="F28" s="43">
        <v>213000000000</v>
      </c>
      <c r="G28" s="43">
        <v>10000000000</v>
      </c>
      <c r="H28" s="1">
        <v>164.4</v>
      </c>
      <c r="I28" t="s">
        <v>145</v>
      </c>
    </row>
    <row r="29" spans="1:9" x14ac:dyDescent="0.2">
      <c r="A29">
        <v>7</v>
      </c>
      <c r="B29" s="1">
        <v>25</v>
      </c>
      <c r="C29" s="1">
        <v>21.3</v>
      </c>
      <c r="D29" s="161">
        <v>0.85</v>
      </c>
      <c r="E29" s="33">
        <f t="shared" si="0"/>
        <v>25.326991676575506</v>
      </c>
      <c r="F29" s="43">
        <v>213000000000</v>
      </c>
      <c r="G29" s="43">
        <v>10000000000</v>
      </c>
      <c r="H29" s="1">
        <v>164.4</v>
      </c>
      <c r="I29" t="s">
        <v>145</v>
      </c>
    </row>
    <row r="30" spans="1:9" x14ac:dyDescent="0.2">
      <c r="A30">
        <v>8</v>
      </c>
      <c r="B30" s="1">
        <v>25</v>
      </c>
      <c r="C30" s="1">
        <v>21.3</v>
      </c>
      <c r="D30" s="161">
        <v>0.85</v>
      </c>
      <c r="E30" s="33">
        <f t="shared" si="0"/>
        <v>25.326991676575506</v>
      </c>
      <c r="F30" s="43">
        <v>213000000000</v>
      </c>
      <c r="G30" s="43">
        <v>10000000000</v>
      </c>
      <c r="H30" s="1">
        <v>164.4</v>
      </c>
      <c r="I30" t="s">
        <v>145</v>
      </c>
    </row>
    <row r="31" spans="1:9" x14ac:dyDescent="0.2">
      <c r="B31" s="1"/>
      <c r="C31" s="1">
        <f>SUM(C23:C30)</f>
        <v>170.4</v>
      </c>
      <c r="D31" s="161"/>
      <c r="E31" s="33">
        <f>SUM(E23:E30)</f>
        <v>202.61593341260408</v>
      </c>
      <c r="F31" s="43"/>
      <c r="G31" s="43" t="s">
        <v>146</v>
      </c>
      <c r="H31" s="33">
        <f>E31-E30</f>
        <v>177.28894173602856</v>
      </c>
    </row>
    <row r="32" spans="1:9" x14ac:dyDescent="0.2">
      <c r="B32" s="1"/>
      <c r="C32" s="1"/>
      <c r="D32" s="161"/>
      <c r="E32" s="33"/>
      <c r="F32" s="43"/>
      <c r="G32" s="43" t="s">
        <v>147</v>
      </c>
      <c r="H32" s="33">
        <f>H31-H30</f>
        <v>12.888941736028556</v>
      </c>
      <c r="I32" t="s">
        <v>11</v>
      </c>
    </row>
    <row r="33" spans="1:9" ht="19.5" x14ac:dyDescent="0.35">
      <c r="A33" s="178" t="s">
        <v>113</v>
      </c>
      <c r="B33" s="178"/>
      <c r="C33" s="178"/>
      <c r="D33" s="178"/>
      <c r="E33" s="178"/>
      <c r="F33" s="178"/>
      <c r="G33" s="178"/>
      <c r="H33" s="178"/>
    </row>
    <row r="34" spans="1:9" ht="19.5" x14ac:dyDescent="0.35">
      <c r="A34" s="178" t="s">
        <v>114</v>
      </c>
      <c r="B34" s="178"/>
      <c r="C34" s="178"/>
      <c r="D34" s="178"/>
      <c r="E34" s="178"/>
      <c r="F34" s="178"/>
      <c r="G34" s="178"/>
      <c r="H34" s="178"/>
    </row>
    <row r="35" spans="1:9" ht="19.5" x14ac:dyDescent="0.35">
      <c r="A35" s="159" t="s">
        <v>51</v>
      </c>
      <c r="B35" s="54"/>
      <c r="D35" s="160"/>
      <c r="E35" s="160"/>
      <c r="F35" s="160"/>
      <c r="H35"/>
    </row>
    <row r="36" spans="1:9" ht="19.5" x14ac:dyDescent="0.35">
      <c r="A36" t="s">
        <v>120</v>
      </c>
      <c r="B36" s="53">
        <f>B11</f>
        <v>0.84099999999999997</v>
      </c>
      <c r="C36" s="1"/>
      <c r="D36" s="160"/>
      <c r="E36" s="160"/>
      <c r="F36" s="168"/>
      <c r="G36" s="168">
        <f>$B$36/20</f>
        <v>4.2049999999999997E-2</v>
      </c>
      <c r="H36" t="s">
        <v>140</v>
      </c>
    </row>
    <row r="37" spans="1:9" x14ac:dyDescent="0.2">
      <c r="A37" t="s">
        <v>108</v>
      </c>
      <c r="B37" s="1" t="str">
        <f t="shared" ref="B37:B42" si="1">B12</f>
        <v>J-131</v>
      </c>
      <c r="C37" s="1" t="s">
        <v>124</v>
      </c>
      <c r="D37" s="162" t="s">
        <v>125</v>
      </c>
      <c r="E37" s="162" t="s">
        <v>118</v>
      </c>
      <c r="F37" s="162" t="s">
        <v>126</v>
      </c>
      <c r="G37" s="162" t="s">
        <v>137</v>
      </c>
      <c r="H37" s="162" t="s">
        <v>131</v>
      </c>
    </row>
    <row r="38" spans="1:9" x14ac:dyDescent="0.2">
      <c r="A38" t="s">
        <v>119</v>
      </c>
      <c r="B38" s="1">
        <f t="shared" si="1"/>
        <v>8.0399999999999991</v>
      </c>
      <c r="C38" s="162" t="s">
        <v>127</v>
      </c>
      <c r="D38" s="162" t="s">
        <v>128</v>
      </c>
      <c r="E38" s="162" t="s">
        <v>129</v>
      </c>
      <c r="F38" s="162" t="s">
        <v>130</v>
      </c>
      <c r="G38" s="162" t="s">
        <v>134</v>
      </c>
      <c r="H38" s="162" t="s">
        <v>133</v>
      </c>
    </row>
    <row r="39" spans="1:9" x14ac:dyDescent="0.2">
      <c r="A39" t="s">
        <v>121</v>
      </c>
      <c r="B39" s="1">
        <f t="shared" si="1"/>
        <v>7000</v>
      </c>
      <c r="C39" s="165">
        <v>100000000</v>
      </c>
      <c r="D39" s="162" t="s">
        <v>132</v>
      </c>
      <c r="E39" s="162" t="s">
        <v>132</v>
      </c>
      <c r="F39" s="165">
        <v>5000000</v>
      </c>
      <c r="G39" s="165">
        <v>60000</v>
      </c>
      <c r="H39" s="165">
        <v>50000</v>
      </c>
    </row>
    <row r="40" spans="1:9" x14ac:dyDescent="0.2">
      <c r="B40" s="1"/>
      <c r="C40" s="162"/>
      <c r="D40" s="162"/>
      <c r="E40" s="162"/>
      <c r="F40" s="162"/>
      <c r="G40" s="162"/>
      <c r="H40" s="162"/>
    </row>
    <row r="41" spans="1:9" x14ac:dyDescent="0.2">
      <c r="A41" t="s">
        <v>122</v>
      </c>
      <c r="B41" s="1">
        <f t="shared" si="1"/>
        <v>20700000000</v>
      </c>
      <c r="C41" s="162">
        <f>12*1110000000</f>
        <v>13320000000</v>
      </c>
      <c r="D41" s="163">
        <f>12*1110000000</f>
        <v>13320000000</v>
      </c>
      <c r="E41" s="162">
        <f>12*11100000000</f>
        <v>133200000000</v>
      </c>
      <c r="F41" s="164">
        <f>12*400000000</f>
        <v>4800000000</v>
      </c>
      <c r="G41" s="165">
        <v>185000000</v>
      </c>
      <c r="H41" s="165">
        <v>150000000</v>
      </c>
    </row>
    <row r="42" spans="1:9" x14ac:dyDescent="0.2">
      <c r="A42" t="s">
        <v>123</v>
      </c>
      <c r="B42" s="1">
        <f t="shared" si="1"/>
        <v>24613555291.319859</v>
      </c>
      <c r="F42" s="166"/>
      <c r="G42" s="166">
        <f>G41/G36</f>
        <v>4399524375.7431631</v>
      </c>
      <c r="H42"/>
      <c r="I42" s="1"/>
    </row>
    <row r="43" spans="1:9" s="169" customFormat="1" x14ac:dyDescent="0.2">
      <c r="A43" s="169" t="s">
        <v>71</v>
      </c>
      <c r="B43" s="170">
        <f>B42/B39</f>
        <v>3516222.1844742657</v>
      </c>
      <c r="C43" s="170"/>
      <c r="D43" s="170"/>
      <c r="E43" s="170"/>
      <c r="F43" s="170"/>
      <c r="G43" s="170">
        <f>G42/G39</f>
        <v>73325.406262386052</v>
      </c>
      <c r="H43" s="170"/>
      <c r="I43" s="170"/>
    </row>
    <row r="44" spans="1:9" x14ac:dyDescent="0.2">
      <c r="B44" s="1"/>
      <c r="F44" s="166"/>
      <c r="G44" s="166"/>
      <c r="H44"/>
      <c r="I44" s="1"/>
    </row>
    <row r="45" spans="1:9" ht="19.5" x14ac:dyDescent="0.35">
      <c r="A45" s="160"/>
      <c r="B45" s="160"/>
      <c r="C45" s="160"/>
      <c r="D45" s="160"/>
      <c r="E45" s="160"/>
      <c r="F45" s="160"/>
      <c r="G45" s="160"/>
      <c r="H45" s="160"/>
    </row>
    <row r="46" spans="1:9" x14ac:dyDescent="0.2">
      <c r="B46" s="180" t="s">
        <v>21</v>
      </c>
      <c r="C46" s="180"/>
    </row>
    <row r="47" spans="1:9" x14ac:dyDescent="0.2">
      <c r="A47" s="54" t="s">
        <v>105</v>
      </c>
      <c r="B47" s="1" t="s">
        <v>73</v>
      </c>
      <c r="C47" s="1" t="s">
        <v>106</v>
      </c>
      <c r="D47" s="1"/>
      <c r="E47" s="33" t="s">
        <v>66</v>
      </c>
      <c r="F47" s="180" t="s">
        <v>110</v>
      </c>
      <c r="G47" s="180"/>
      <c r="H47" s="1" t="s">
        <v>81</v>
      </c>
    </row>
    <row r="48" spans="1:9" x14ac:dyDescent="0.2">
      <c r="B48" s="180" t="s">
        <v>107</v>
      </c>
      <c r="C48" s="180"/>
      <c r="D48" s="1"/>
      <c r="E48" s="33" t="s">
        <v>57</v>
      </c>
      <c r="F48" s="1" t="s">
        <v>9</v>
      </c>
      <c r="G48" s="1" t="s">
        <v>109</v>
      </c>
      <c r="H48" s="1" t="s">
        <v>57</v>
      </c>
    </row>
    <row r="49" spans="1:8" x14ac:dyDescent="0.2">
      <c r="A49">
        <v>9</v>
      </c>
      <c r="B49" s="1">
        <v>10</v>
      </c>
      <c r="C49" s="1">
        <v>8.5</v>
      </c>
      <c r="D49" s="161">
        <v>0.85</v>
      </c>
      <c r="E49" s="179" t="s">
        <v>115</v>
      </c>
      <c r="F49" s="179"/>
      <c r="G49" s="179"/>
      <c r="H49" s="179"/>
    </row>
    <row r="50" spans="1:8" x14ac:dyDescent="0.2">
      <c r="A50">
        <v>10</v>
      </c>
      <c r="B50" s="1">
        <v>10</v>
      </c>
      <c r="C50" s="1">
        <v>8.5</v>
      </c>
      <c r="D50" s="161">
        <v>0.85</v>
      </c>
      <c r="E50" s="179" t="s">
        <v>115</v>
      </c>
      <c r="F50" s="179"/>
      <c r="G50" s="179"/>
      <c r="H50" s="179"/>
    </row>
  </sheetData>
  <mergeCells count="15">
    <mergeCell ref="A1:H1"/>
    <mergeCell ref="A2:H2"/>
    <mergeCell ref="A4:H4"/>
    <mergeCell ref="A33:H33"/>
    <mergeCell ref="B22:C22"/>
    <mergeCell ref="B20:C20"/>
    <mergeCell ref="A8:H8"/>
    <mergeCell ref="A9:H9"/>
    <mergeCell ref="F21:G21"/>
    <mergeCell ref="A34:H34"/>
    <mergeCell ref="E49:H49"/>
    <mergeCell ref="E50:H50"/>
    <mergeCell ref="B46:C46"/>
    <mergeCell ref="F47:G47"/>
    <mergeCell ref="B48:C48"/>
  </mergeCells>
  <phoneticPr fontId="11" type="noConversion"/>
  <printOptions horizontalCentered="1" verticalCentered="1" gridLines="1" gridLinesSet="0"/>
  <pageMargins left="0.78740157480314965" right="0.78740157480314965" top="1.3779527559055118" bottom="0.98425196850393704" header="0.51181102362204722" footer="0.51181102362204722"/>
  <pageSetup paperSize="9" scale="88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U76"/>
  <sheetViews>
    <sheetView tabSelected="1" zoomScale="75" workbookViewId="0"/>
  </sheetViews>
  <sheetFormatPr baseColWidth="10" defaultRowHeight="12.75" outlineLevelCol="1" x14ac:dyDescent="0.2"/>
  <cols>
    <col min="1" max="1" width="13" style="12" customWidth="1"/>
    <col min="2" max="2" width="12.28515625" style="1" customWidth="1"/>
    <col min="3" max="3" width="9" style="45" customWidth="1"/>
    <col min="4" max="4" width="8.42578125" style="45" customWidth="1"/>
    <col min="5" max="5" width="8.28515625" style="45" customWidth="1"/>
    <col min="6" max="6" width="9.85546875" style="1" customWidth="1"/>
    <col min="7" max="7" width="9.85546875" style="43" customWidth="1"/>
    <col min="8" max="8" width="6" style="33" customWidth="1"/>
    <col min="9" max="9" width="6.7109375" style="34" customWidth="1"/>
    <col min="10" max="10" width="6.7109375" style="69" customWidth="1"/>
    <col min="11" max="11" width="6.7109375" style="69" hidden="1" customWidth="1"/>
    <col min="12" max="12" width="0" hidden="1" customWidth="1" outlineLevel="1"/>
    <col min="13" max="13" width="11.42578125" collapsed="1"/>
  </cols>
  <sheetData>
    <row r="1" spans="1:21" ht="15.75" x14ac:dyDescent="0.25">
      <c r="A1" s="77" t="str">
        <f>Projekt!B1</f>
        <v>xXx</v>
      </c>
      <c r="B1" s="72"/>
      <c r="C1" s="73"/>
      <c r="D1" s="73"/>
      <c r="E1" s="73"/>
      <c r="F1" s="72"/>
      <c r="G1" s="71"/>
      <c r="H1" s="74"/>
      <c r="I1" s="75"/>
      <c r="J1" s="76"/>
      <c r="K1" s="76"/>
      <c r="M1" s="77" t="str">
        <f>A1</f>
        <v>xXx</v>
      </c>
      <c r="N1" s="72"/>
      <c r="O1" s="72"/>
      <c r="P1" s="72"/>
      <c r="Q1" s="72"/>
      <c r="R1" s="72"/>
      <c r="S1" s="72"/>
      <c r="T1" s="72"/>
      <c r="U1" s="72"/>
    </row>
    <row r="2" spans="1:21" ht="15.75" x14ac:dyDescent="0.25">
      <c r="A2" s="71"/>
      <c r="B2" s="72"/>
      <c r="C2" s="73"/>
      <c r="D2" s="73"/>
      <c r="E2" s="73"/>
      <c r="F2" s="72"/>
      <c r="G2" s="71"/>
      <c r="H2" s="74"/>
      <c r="I2" s="75"/>
      <c r="J2" s="76"/>
      <c r="K2" s="76"/>
      <c r="M2" s="71"/>
      <c r="N2" s="72"/>
      <c r="O2" s="72"/>
      <c r="P2" s="72"/>
      <c r="Q2" s="72"/>
      <c r="R2" s="72"/>
      <c r="S2" s="72"/>
      <c r="T2" s="72"/>
      <c r="U2" s="72"/>
    </row>
    <row r="3" spans="1:21" ht="15.75" x14ac:dyDescent="0.25">
      <c r="A3" s="27" t="s">
        <v>47</v>
      </c>
      <c r="B3" s="28">
        <f>AKTIV.XLS!C22</f>
        <v>2430900000000</v>
      </c>
      <c r="C3" s="29" t="s">
        <v>48</v>
      </c>
      <c r="D3" s="73"/>
      <c r="E3" s="73"/>
      <c r="F3" s="72"/>
      <c r="G3" s="71"/>
      <c r="H3" s="74"/>
      <c r="I3" s="75"/>
      <c r="J3" s="76"/>
      <c r="K3" s="76"/>
    </row>
    <row r="4" spans="1:21" x14ac:dyDescent="0.2">
      <c r="A4" s="27" t="s">
        <v>49</v>
      </c>
      <c r="B4" s="28">
        <f>B3/365</f>
        <v>6660000000</v>
      </c>
      <c r="C4" s="29" t="s">
        <v>50</v>
      </c>
      <c r="D4" s="29"/>
      <c r="E4" s="30" t="s">
        <v>51</v>
      </c>
      <c r="F4" s="31">
        <f>IF(D8="ja",ABWASSER!G27/1000,ABWASSER!E27/1000)</f>
        <v>0.50443809523809524</v>
      </c>
      <c r="G4" s="32" t="s">
        <v>52</v>
      </c>
    </row>
    <row r="5" spans="1:21" x14ac:dyDescent="0.2">
      <c r="A5" s="30" t="s">
        <v>53</v>
      </c>
      <c r="B5" s="35" t="s">
        <v>54</v>
      </c>
      <c r="C5" s="32"/>
      <c r="D5" s="32"/>
      <c r="E5" s="36" t="s">
        <v>55</v>
      </c>
      <c r="F5" s="37">
        <v>0.85</v>
      </c>
      <c r="G5" s="1"/>
    </row>
    <row r="6" spans="1:21" x14ac:dyDescent="0.2">
      <c r="A6" s="38" t="s">
        <v>56</v>
      </c>
      <c r="B6" s="39">
        <v>8.0399999999999991</v>
      </c>
      <c r="C6" s="32" t="s">
        <v>57</v>
      </c>
      <c r="D6" s="32"/>
      <c r="E6"/>
      <c r="F6"/>
      <c r="G6"/>
    </row>
    <row r="7" spans="1:21" x14ac:dyDescent="0.2">
      <c r="A7" s="40" t="s">
        <v>58</v>
      </c>
      <c r="B7" s="41">
        <v>7000</v>
      </c>
      <c r="C7" s="29" t="s">
        <v>59</v>
      </c>
      <c r="D7" s="32"/>
      <c r="E7" s="42"/>
    </row>
    <row r="8" spans="1:21" x14ac:dyDescent="0.2">
      <c r="A8" t="s">
        <v>60</v>
      </c>
      <c r="B8"/>
      <c r="C8"/>
      <c r="D8" s="29" t="s">
        <v>61</v>
      </c>
      <c r="E8"/>
      <c r="F8"/>
      <c r="G8"/>
      <c r="H8"/>
      <c r="I8" s="33" t="s">
        <v>62</v>
      </c>
      <c r="K8" s="33">
        <v>0</v>
      </c>
    </row>
    <row r="9" spans="1:21" x14ac:dyDescent="0.2">
      <c r="A9" s="40"/>
      <c r="B9" s="41"/>
      <c r="C9" s="29"/>
      <c r="D9" s="29"/>
      <c r="E9"/>
      <c r="F9"/>
      <c r="G9"/>
    </row>
    <row r="10" spans="1:21" x14ac:dyDescent="0.2">
      <c r="A10"/>
      <c r="B10" s="44" t="s">
        <v>63</v>
      </c>
      <c r="C10" s="44"/>
      <c r="D10" s="44"/>
      <c r="E10" s="45" t="s">
        <v>64</v>
      </c>
      <c r="F10" s="44" t="s">
        <v>63</v>
      </c>
      <c r="G10" s="46"/>
      <c r="H10" s="47"/>
      <c r="I10" s="48"/>
      <c r="J10" s="70"/>
      <c r="K10" s="70"/>
    </row>
    <row r="11" spans="1:21" x14ac:dyDescent="0.2">
      <c r="A11" s="43" t="s">
        <v>65</v>
      </c>
      <c r="B11" s="1" t="s">
        <v>66</v>
      </c>
      <c r="C11" s="49" t="s">
        <v>21</v>
      </c>
      <c r="D11" s="49"/>
      <c r="E11" s="45" t="s">
        <v>21</v>
      </c>
      <c r="F11" s="1" t="s">
        <v>7</v>
      </c>
      <c r="G11" s="43" t="s">
        <v>67</v>
      </c>
      <c r="H11" s="33" t="s">
        <v>46</v>
      </c>
      <c r="I11" s="34" t="s">
        <v>23</v>
      </c>
      <c r="J11" s="69" t="s">
        <v>68</v>
      </c>
      <c r="K11" s="69" t="s">
        <v>68</v>
      </c>
    </row>
    <row r="12" spans="1:21" x14ac:dyDescent="0.2">
      <c r="A12" s="43" t="s">
        <v>9</v>
      </c>
      <c r="B12" s="1" t="s">
        <v>11</v>
      </c>
      <c r="C12" s="45" t="s">
        <v>69</v>
      </c>
      <c r="D12" s="45" t="s">
        <v>69</v>
      </c>
      <c r="E12" s="45" t="s">
        <v>69</v>
      </c>
      <c r="F12" s="1" t="s">
        <v>9</v>
      </c>
      <c r="G12" s="43" t="s">
        <v>59</v>
      </c>
      <c r="H12" s="33" t="s">
        <v>11</v>
      </c>
      <c r="I12" s="34" t="s">
        <v>70</v>
      </c>
      <c r="J12" s="69" t="s">
        <v>71</v>
      </c>
      <c r="K12" s="69" t="s">
        <v>71</v>
      </c>
    </row>
    <row r="13" spans="1:21" x14ac:dyDescent="0.2">
      <c r="A13" s="43"/>
      <c r="C13" s="50" t="s">
        <v>72</v>
      </c>
      <c r="D13" s="50" t="s">
        <v>73</v>
      </c>
      <c r="E13" s="50" t="s">
        <v>73</v>
      </c>
    </row>
    <row r="14" spans="1:21" x14ac:dyDescent="0.2">
      <c r="A14" s="51">
        <f>F14</f>
        <v>10445320939.877001</v>
      </c>
      <c r="B14" s="33">
        <f t="shared" ref="B14:B45" si="0">B13+dt</f>
        <v>1.6850432352830118</v>
      </c>
      <c r="C14" s="52">
        <f t="shared" ref="C14:C45" si="1">B14*$F$4</f>
        <v>0.85000000000000009</v>
      </c>
      <c r="D14" s="34">
        <f t="shared" ref="D14:D45" si="2">C14/Fgrad</f>
        <v>1.0000000000000002</v>
      </c>
      <c r="E14" s="34">
        <f t="shared" ref="E14:E45" si="3">D14*I14</f>
        <v>100.00000000000003</v>
      </c>
      <c r="F14" s="43">
        <f>(Ao/-Lambda)*(1-EXP(Lambda*B14))</f>
        <v>10445320939.877001</v>
      </c>
      <c r="G14" s="43">
        <f t="shared" ref="G14:G45" si="4">F14/C14</f>
        <v>12288612870.443529</v>
      </c>
      <c r="H14" s="33">
        <f>1/Lambda*LN(Agrenz/G14)</f>
        <v>166.77744908629191</v>
      </c>
      <c r="I14" s="34">
        <f t="shared" ref="I14:I45" si="5">IF(TRUNC(L14)&lt;L14,TRUNC(L14)+1,L14)</f>
        <v>100</v>
      </c>
      <c r="J14" s="69">
        <f>(G14*EXP(-LN(2)*(I14-1)*B14/$B$6))/$B$7</f>
        <v>0.99640012908275266</v>
      </c>
      <c r="K14" s="69">
        <f>(G14*EXP(-LN(2)*$K$8/$B$6))/$B$7</f>
        <v>1755516.1243490756</v>
      </c>
      <c r="L14" s="53">
        <f t="shared" ref="L14:L45" si="6">(H14*$F$4)/C14+1</f>
        <v>99.975174995008814</v>
      </c>
    </row>
    <row r="15" spans="1:21" x14ac:dyDescent="0.2">
      <c r="A15" s="12">
        <f>F15-F14</f>
        <v>9032982562.9861279</v>
      </c>
      <c r="B15" s="33">
        <f t="shared" si="0"/>
        <v>3.3700864705660236</v>
      </c>
      <c r="C15" s="52">
        <f t="shared" si="1"/>
        <v>1.7000000000000002</v>
      </c>
      <c r="D15" s="34">
        <f t="shared" si="2"/>
        <v>2.0000000000000004</v>
      </c>
      <c r="E15" s="34">
        <f t="shared" si="3"/>
        <v>102.00000000000003</v>
      </c>
      <c r="F15" s="43">
        <f t="shared" ref="F15:F30" si="7">(Ao/-Lambda)*(1-EXP(Lambda*B15))</f>
        <v>19478303502.863129</v>
      </c>
      <c r="G15" s="43">
        <f t="shared" si="4"/>
        <v>11457825589.919487</v>
      </c>
      <c r="H15" s="33">
        <f t="shared" ref="H15:H30" si="8">1/Lambda*LN(Agrenz/G15)</f>
        <v>165.96549919793148</v>
      </c>
      <c r="I15" s="34">
        <f t="shared" si="5"/>
        <v>51</v>
      </c>
      <c r="J15" s="69">
        <f t="shared" ref="J15:J30" si="9">(G15*EXP(-LN(2)*(I15-1)*B15/$B$6))/$B$7</f>
        <v>0.80341974871456612</v>
      </c>
      <c r="K15" s="69">
        <f t="shared" ref="K15:K30" si="10">(G15*EXP(-LN(2)*$K$8/$B$6))/$B$7</f>
        <v>1636832.2271313553</v>
      </c>
      <c r="L15" s="53">
        <f t="shared" si="6"/>
        <v>50.24665899449657</v>
      </c>
    </row>
    <row r="16" spans="1:21" x14ac:dyDescent="0.2">
      <c r="A16" s="12">
        <f t="shared" ref="A16:A31" si="11">F16-F15</f>
        <v>7811610045.5762672</v>
      </c>
      <c r="B16" s="33">
        <f t="shared" si="0"/>
        <v>5.0551297058490352</v>
      </c>
      <c r="C16" s="52">
        <f t="shared" si="1"/>
        <v>2.5499999999999998</v>
      </c>
      <c r="D16" s="34">
        <f t="shared" si="2"/>
        <v>3</v>
      </c>
      <c r="E16" s="34">
        <f t="shared" si="3"/>
        <v>102</v>
      </c>
      <c r="F16" s="43">
        <f t="shared" si="7"/>
        <v>27289913548.439396</v>
      </c>
      <c r="G16" s="43">
        <f t="shared" si="4"/>
        <v>10701926881.74094</v>
      </c>
      <c r="H16" s="33">
        <f t="shared" si="8"/>
        <v>165.17385904784533</v>
      </c>
      <c r="I16" s="34">
        <f t="shared" si="5"/>
        <v>34</v>
      </c>
      <c r="J16" s="69">
        <f t="shared" si="9"/>
        <v>0.86774654217063152</v>
      </c>
      <c r="K16" s="69">
        <f t="shared" si="10"/>
        <v>1528846.6973915629</v>
      </c>
      <c r="L16" s="53">
        <f t="shared" si="6"/>
        <v>33.674504643615975</v>
      </c>
    </row>
    <row r="17" spans="1:12" x14ac:dyDescent="0.2">
      <c r="A17" s="12">
        <f t="shared" si="11"/>
        <v>6755382408.7063942</v>
      </c>
      <c r="B17" s="33">
        <f t="shared" si="0"/>
        <v>6.7401729411320472</v>
      </c>
      <c r="C17" s="52">
        <f t="shared" si="1"/>
        <v>3.4000000000000004</v>
      </c>
      <c r="D17" s="34">
        <f t="shared" si="2"/>
        <v>4.0000000000000009</v>
      </c>
      <c r="E17" s="34">
        <f t="shared" si="3"/>
        <v>104.00000000000003</v>
      </c>
      <c r="F17" s="43">
        <f t="shared" si="7"/>
        <v>34045295957.14579</v>
      </c>
      <c r="G17" s="43">
        <f t="shared" si="4"/>
        <v>10013322340.336996</v>
      </c>
      <c r="H17" s="33">
        <f t="shared" si="8"/>
        <v>164.40242226235168</v>
      </c>
      <c r="I17" s="34">
        <f t="shared" si="5"/>
        <v>26</v>
      </c>
      <c r="J17" s="69">
        <f t="shared" si="9"/>
        <v>0.70213155675448113</v>
      </c>
      <c r="K17" s="69">
        <f t="shared" si="10"/>
        <v>1430474.6200481423</v>
      </c>
      <c r="L17" s="53">
        <f t="shared" si="6"/>
        <v>25.391424923102853</v>
      </c>
    </row>
    <row r="18" spans="1:12" x14ac:dyDescent="0.2">
      <c r="A18" s="12">
        <f t="shared" si="11"/>
        <v>5841969993.5870667</v>
      </c>
      <c r="B18" s="33">
        <f t="shared" si="0"/>
        <v>8.4252161764150593</v>
      </c>
      <c r="C18" s="52">
        <f t="shared" si="1"/>
        <v>4.25</v>
      </c>
      <c r="D18" s="34">
        <f t="shared" si="2"/>
        <v>5</v>
      </c>
      <c r="E18" s="34">
        <f t="shared" si="3"/>
        <v>105</v>
      </c>
      <c r="F18" s="43">
        <f t="shared" si="7"/>
        <v>39887265950.732857</v>
      </c>
      <c r="G18" s="43">
        <f t="shared" si="4"/>
        <v>9385239047.2312603</v>
      </c>
      <c r="H18" s="33">
        <f t="shared" si="8"/>
        <v>163.6510413978142</v>
      </c>
      <c r="I18" s="34">
        <f t="shared" si="5"/>
        <v>21</v>
      </c>
      <c r="J18" s="69">
        <f t="shared" si="9"/>
        <v>0.65809051968696075</v>
      </c>
      <c r="K18" s="69">
        <f t="shared" si="10"/>
        <v>1340748.4353187515</v>
      </c>
      <c r="L18" s="53">
        <f t="shared" si="6"/>
        <v>20.423957554457427</v>
      </c>
    </row>
    <row r="19" spans="1:12" x14ac:dyDescent="0.2">
      <c r="A19" s="12">
        <f t="shared" si="11"/>
        <v>5052062391.31427</v>
      </c>
      <c r="B19" s="33">
        <f t="shared" si="0"/>
        <v>10.11025941169807</v>
      </c>
      <c r="C19" s="52">
        <f t="shared" si="1"/>
        <v>5.0999999999999996</v>
      </c>
      <c r="D19" s="34">
        <f t="shared" si="2"/>
        <v>6</v>
      </c>
      <c r="E19" s="34">
        <f t="shared" si="3"/>
        <v>108</v>
      </c>
      <c r="F19" s="43">
        <f t="shared" si="7"/>
        <v>44939328342.047127</v>
      </c>
      <c r="G19" s="43">
        <f t="shared" si="4"/>
        <v>8811633008.2445354</v>
      </c>
      <c r="H19" s="33">
        <f t="shared" si="8"/>
        <v>162.91952938147321</v>
      </c>
      <c r="I19" s="34">
        <f t="shared" si="5"/>
        <v>18</v>
      </c>
      <c r="J19" s="69">
        <f t="shared" si="9"/>
        <v>0.46207818267586492</v>
      </c>
      <c r="K19" s="69">
        <f t="shared" si="10"/>
        <v>1258804.7154635051</v>
      </c>
      <c r="L19" s="53">
        <f t="shared" si="6"/>
        <v>17.114277858485735</v>
      </c>
    </row>
    <row r="20" spans="1:12" x14ac:dyDescent="0.2">
      <c r="A20" s="12">
        <f t="shared" si="11"/>
        <v>4368960202.4231567</v>
      </c>
      <c r="B20" s="33">
        <f t="shared" si="0"/>
        <v>11.795302646981082</v>
      </c>
      <c r="C20" s="52">
        <f t="shared" si="1"/>
        <v>5.9499999999999993</v>
      </c>
      <c r="D20" s="34">
        <f t="shared" si="2"/>
        <v>6.9999999999999991</v>
      </c>
      <c r="E20" s="34">
        <f t="shared" si="3"/>
        <v>104.99999999999999</v>
      </c>
      <c r="F20" s="43">
        <f t="shared" si="7"/>
        <v>49308288544.470284</v>
      </c>
      <c r="G20" s="43">
        <f t="shared" si="4"/>
        <v>8287107318.3983679</v>
      </c>
      <c r="H20" s="33">
        <f t="shared" si="8"/>
        <v>162.20766131030442</v>
      </c>
      <c r="I20" s="34">
        <f t="shared" si="5"/>
        <v>15</v>
      </c>
      <c r="J20" s="69">
        <f t="shared" si="9"/>
        <v>0.77700621390199176</v>
      </c>
      <c r="K20" s="69">
        <f t="shared" si="10"/>
        <v>1183872.4740569098</v>
      </c>
      <c r="L20" s="53">
        <f t="shared" si="6"/>
        <v>14.751886336873284</v>
      </c>
    </row>
    <row r="21" spans="1:12" x14ac:dyDescent="0.2">
      <c r="A21" s="12">
        <f t="shared" si="11"/>
        <v>3778221995.6693268</v>
      </c>
      <c r="B21" s="33">
        <f t="shared" si="0"/>
        <v>13.480345882264093</v>
      </c>
      <c r="C21" s="52">
        <f t="shared" si="1"/>
        <v>6.8</v>
      </c>
      <c r="D21" s="34">
        <f t="shared" si="2"/>
        <v>8</v>
      </c>
      <c r="E21" s="34">
        <f t="shared" si="3"/>
        <v>104</v>
      </c>
      <c r="F21" s="43">
        <f t="shared" si="7"/>
        <v>53086510540.13961</v>
      </c>
      <c r="G21" s="43">
        <f t="shared" si="4"/>
        <v>7806839785.3146486</v>
      </c>
      <c r="H21" s="33">
        <f t="shared" si="8"/>
        <v>161.51517657042433</v>
      </c>
      <c r="I21" s="34">
        <f t="shared" si="5"/>
        <v>13</v>
      </c>
      <c r="J21" s="69">
        <f t="shared" si="9"/>
        <v>0.97876409421648991</v>
      </c>
      <c r="K21" s="69">
        <f t="shared" si="10"/>
        <v>1115262.8264735213</v>
      </c>
      <c r="L21" s="53">
        <f t="shared" si="6"/>
        <v>12.981530591357277</v>
      </c>
    </row>
    <row r="22" spans="1:12" x14ac:dyDescent="0.2">
      <c r="A22" s="12">
        <f t="shared" si="11"/>
        <v>3267359002.4102631</v>
      </c>
      <c r="B22" s="33">
        <f t="shared" si="0"/>
        <v>15.165389117547104</v>
      </c>
      <c r="C22" s="52">
        <f t="shared" si="1"/>
        <v>7.6499999999999995</v>
      </c>
      <c r="D22" s="34">
        <f t="shared" si="2"/>
        <v>9</v>
      </c>
      <c r="E22" s="34">
        <f t="shared" si="3"/>
        <v>108</v>
      </c>
      <c r="F22" s="43">
        <f t="shared" si="7"/>
        <v>56353869542.549873</v>
      </c>
      <c r="G22" s="43">
        <f t="shared" si="4"/>
        <v>7366518894.450964</v>
      </c>
      <c r="H22" s="33">
        <f t="shared" si="8"/>
        <v>160.84178123409436</v>
      </c>
      <c r="I22" s="34">
        <f t="shared" si="5"/>
        <v>12</v>
      </c>
      <c r="J22" s="69">
        <f t="shared" si="9"/>
        <v>0.59730096917412145</v>
      </c>
      <c r="K22" s="69">
        <f t="shared" si="10"/>
        <v>1052359.8420644235</v>
      </c>
      <c r="L22" s="53">
        <f t="shared" si="6"/>
        <v>11.605845981755422</v>
      </c>
    </row>
    <row r="23" spans="1:12" x14ac:dyDescent="0.2">
      <c r="A23" s="12">
        <f t="shared" si="11"/>
        <v>2825571092.1348953</v>
      </c>
      <c r="B23" s="33">
        <f t="shared" si="0"/>
        <v>16.850432352830115</v>
      </c>
      <c r="C23" s="52">
        <f t="shared" si="1"/>
        <v>8.4999999999999982</v>
      </c>
      <c r="D23" s="34">
        <f t="shared" si="2"/>
        <v>9.9999999999999982</v>
      </c>
      <c r="E23" s="34">
        <f t="shared" si="3"/>
        <v>109.99999999999999</v>
      </c>
      <c r="F23" s="43">
        <f t="shared" si="7"/>
        <v>59179440634.684769</v>
      </c>
      <c r="G23" s="43">
        <f t="shared" si="4"/>
        <v>6962287133.4923267</v>
      </c>
      <c r="H23" s="33">
        <f t="shared" si="8"/>
        <v>160.18715068737313</v>
      </c>
      <c r="I23" s="34">
        <f t="shared" si="5"/>
        <v>11</v>
      </c>
      <c r="J23" s="69">
        <f t="shared" si="9"/>
        <v>0.48819376201626907</v>
      </c>
      <c r="K23" s="69">
        <f t="shared" si="10"/>
        <v>994612.44764176093</v>
      </c>
      <c r="L23" s="53">
        <f t="shared" si="6"/>
        <v>10.506411902865443</v>
      </c>
    </row>
    <row r="24" spans="1:12" x14ac:dyDescent="0.2">
      <c r="A24" s="12">
        <f t="shared" si="11"/>
        <v>2443518447.4123611</v>
      </c>
      <c r="B24" s="33">
        <f t="shared" si="0"/>
        <v>18.535475588113126</v>
      </c>
      <c r="C24" s="52">
        <f t="shared" si="1"/>
        <v>9.3499999999999979</v>
      </c>
      <c r="D24" s="34">
        <f t="shared" si="2"/>
        <v>10.999999999999998</v>
      </c>
      <c r="E24" s="34">
        <f t="shared" si="3"/>
        <v>109.99999999999999</v>
      </c>
      <c r="F24" s="43">
        <f t="shared" si="7"/>
        <v>61622959082.09713</v>
      </c>
      <c r="G24" s="43">
        <f t="shared" si="4"/>
        <v>6590690810.9194803</v>
      </c>
      <c r="H24" s="33">
        <f t="shared" si="8"/>
        <v>159.55093243899475</v>
      </c>
      <c r="I24" s="34">
        <f t="shared" si="5"/>
        <v>10</v>
      </c>
      <c r="J24" s="69">
        <f t="shared" si="9"/>
        <v>0.53439434084049597</v>
      </c>
      <c r="K24" s="69">
        <f t="shared" si="10"/>
        <v>941527.25870278291</v>
      </c>
      <c r="L24" s="53">
        <f t="shared" si="6"/>
        <v>9.607868283742091</v>
      </c>
    </row>
    <row r="25" spans="1:12" x14ac:dyDescent="0.2">
      <c r="A25" s="12">
        <f t="shared" si="11"/>
        <v>2113124111.2511673</v>
      </c>
      <c r="B25" s="33">
        <f t="shared" si="0"/>
        <v>20.220518823396137</v>
      </c>
      <c r="C25" s="52">
        <f t="shared" si="1"/>
        <v>10.199999999999998</v>
      </c>
      <c r="D25" s="34">
        <f t="shared" si="2"/>
        <v>11.999999999999998</v>
      </c>
      <c r="E25" s="34">
        <f t="shared" si="3"/>
        <v>107.99999999999999</v>
      </c>
      <c r="F25" s="43">
        <f t="shared" si="7"/>
        <v>63736083193.348297</v>
      </c>
      <c r="G25" s="43">
        <f t="shared" si="4"/>
        <v>6248635607.1910114</v>
      </c>
      <c r="H25" s="33">
        <f t="shared" si="8"/>
        <v>158.93274906009975</v>
      </c>
      <c r="I25" s="34">
        <f t="shared" si="5"/>
        <v>9</v>
      </c>
      <c r="J25" s="69">
        <f t="shared" si="9"/>
        <v>0.78340792668319359</v>
      </c>
      <c r="K25" s="69">
        <f t="shared" si="10"/>
        <v>892662.2295987159</v>
      </c>
      <c r="L25" s="53">
        <f t="shared" si="6"/>
        <v>8.8599738438069515</v>
      </c>
    </row>
    <row r="26" spans="1:12" x14ac:dyDescent="0.2">
      <c r="A26" s="12">
        <f t="shared" si="11"/>
        <v>1827403232.5312347</v>
      </c>
      <c r="B26" s="33">
        <f t="shared" si="0"/>
        <v>21.905562058679148</v>
      </c>
      <c r="C26" s="52">
        <f t="shared" si="1"/>
        <v>11.049999999999997</v>
      </c>
      <c r="D26" s="34">
        <f t="shared" si="2"/>
        <v>12.999999999999996</v>
      </c>
      <c r="E26" s="34">
        <f t="shared" si="3"/>
        <v>116.99999999999997</v>
      </c>
      <c r="F26" s="43">
        <f t="shared" si="7"/>
        <v>65563486425.879532</v>
      </c>
      <c r="G26" s="43">
        <f t="shared" si="4"/>
        <v>5933347187.8624029</v>
      </c>
      <c r="H26" s="33">
        <f t="shared" si="8"/>
        <v>158.33220120494269</v>
      </c>
      <c r="I26" s="34">
        <f t="shared" si="5"/>
        <v>9</v>
      </c>
      <c r="J26" s="69">
        <f t="shared" si="9"/>
        <v>0.23268993097508772</v>
      </c>
      <c r="K26" s="69">
        <f t="shared" si="10"/>
        <v>847621.02683748608</v>
      </c>
      <c r="L26" s="53">
        <f t="shared" si="6"/>
        <v>8.2279451575272553</v>
      </c>
    </row>
    <row r="27" spans="1:12" x14ac:dyDescent="0.2">
      <c r="A27" s="12">
        <f t="shared" si="11"/>
        <v>1580315399.5949249</v>
      </c>
      <c r="B27" s="33">
        <f t="shared" si="0"/>
        <v>23.59060529396216</v>
      </c>
      <c r="C27" s="52">
        <f t="shared" si="1"/>
        <v>11.899999999999997</v>
      </c>
      <c r="D27" s="34">
        <f t="shared" si="2"/>
        <v>13.999999999999996</v>
      </c>
      <c r="E27" s="34">
        <f t="shared" si="3"/>
        <v>111.99999999999997</v>
      </c>
      <c r="F27" s="43">
        <f t="shared" si="7"/>
        <v>67143801825.474457</v>
      </c>
      <c r="G27" s="43">
        <f t="shared" si="4"/>
        <v>5642336287.8549976</v>
      </c>
      <c r="H27" s="33">
        <f t="shared" si="8"/>
        <v>157.74887066451276</v>
      </c>
      <c r="I27" s="34">
        <f t="shared" si="5"/>
        <v>8</v>
      </c>
      <c r="J27" s="69">
        <f t="shared" si="9"/>
        <v>0.52903023795224013</v>
      </c>
      <c r="K27" s="69">
        <f t="shared" si="10"/>
        <v>806048.04112214257</v>
      </c>
      <c r="L27" s="53">
        <f t="shared" si="6"/>
        <v>7.6869361213418053</v>
      </c>
    </row>
    <row r="28" spans="1:12" s="85" customFormat="1" ht="13.5" customHeight="1" x14ac:dyDescent="0.2">
      <c r="A28" s="12">
        <f t="shared" si="11"/>
        <v>1366636940.1884232</v>
      </c>
      <c r="B28" s="145">
        <f t="shared" si="0"/>
        <v>25.275648529245171</v>
      </c>
      <c r="C28" s="146">
        <f t="shared" si="1"/>
        <v>12.749999999999996</v>
      </c>
      <c r="D28" s="147">
        <f t="shared" si="2"/>
        <v>14.999999999999996</v>
      </c>
      <c r="E28" s="147">
        <f t="shared" si="3"/>
        <v>119.99999999999997</v>
      </c>
      <c r="F28" s="148">
        <f t="shared" si="7"/>
        <v>68510438765.66288</v>
      </c>
      <c r="G28" s="149">
        <f t="shared" si="4"/>
        <v>5373367746.3265018</v>
      </c>
      <c r="H28" s="150">
        <f t="shared" si="8"/>
        <v>157.18232340795316</v>
      </c>
      <c r="I28" s="147">
        <f t="shared" si="5"/>
        <v>8</v>
      </c>
      <c r="J28" s="151">
        <f t="shared" si="9"/>
        <v>0.18223583313068997</v>
      </c>
      <c r="K28" s="83">
        <f t="shared" si="10"/>
        <v>767623.96376092883</v>
      </c>
      <c r="L28" s="84">
        <f t="shared" si="6"/>
        <v>7.2187256333338183</v>
      </c>
    </row>
    <row r="29" spans="1:12" x14ac:dyDescent="0.2">
      <c r="A29" s="12">
        <f t="shared" si="11"/>
        <v>1181850488.0521164</v>
      </c>
      <c r="B29" s="33">
        <f t="shared" si="0"/>
        <v>26.960691764528182</v>
      </c>
      <c r="C29" s="52">
        <f t="shared" si="1"/>
        <v>13.599999999999998</v>
      </c>
      <c r="D29" s="34">
        <f t="shared" si="2"/>
        <v>15.999999999999998</v>
      </c>
      <c r="E29" s="34">
        <f t="shared" si="3"/>
        <v>111.99999999999999</v>
      </c>
      <c r="F29" s="43">
        <f t="shared" si="7"/>
        <v>69692289253.714996</v>
      </c>
      <c r="G29" s="43">
        <f t="shared" si="4"/>
        <v>5124433033.3613977</v>
      </c>
      <c r="H29" s="33">
        <f t="shared" si="8"/>
        <v>156.63211257054701</v>
      </c>
      <c r="I29" s="34">
        <f t="shared" si="5"/>
        <v>7</v>
      </c>
      <c r="J29" s="69">
        <f t="shared" si="9"/>
        <v>0.64246368494788919</v>
      </c>
      <c r="K29" s="69">
        <f t="shared" si="10"/>
        <v>732061.8619087711</v>
      </c>
      <c r="L29" s="53">
        <f t="shared" si="6"/>
        <v>6.8096473910445336</v>
      </c>
    </row>
    <row r="30" spans="1:12" x14ac:dyDescent="0.2">
      <c r="A30" s="12">
        <f t="shared" si="11"/>
        <v>1022049481.4932098</v>
      </c>
      <c r="B30" s="33">
        <f t="shared" si="0"/>
        <v>28.645734999811193</v>
      </c>
      <c r="C30" s="52">
        <f t="shared" si="1"/>
        <v>14.449999999999998</v>
      </c>
      <c r="D30" s="34">
        <f t="shared" si="2"/>
        <v>16.999999999999996</v>
      </c>
      <c r="E30" s="34">
        <f t="shared" si="3"/>
        <v>118.99999999999997</v>
      </c>
      <c r="F30" s="43">
        <f t="shared" si="7"/>
        <v>70714338735.208206</v>
      </c>
      <c r="G30" s="43">
        <f t="shared" si="4"/>
        <v>4893725864.0282507</v>
      </c>
      <c r="H30" s="33">
        <f t="shared" si="8"/>
        <v>156.09778135162503</v>
      </c>
      <c r="I30" s="34">
        <f t="shared" si="5"/>
        <v>7</v>
      </c>
      <c r="J30" s="69">
        <f t="shared" si="9"/>
        <v>0.2566248448668153</v>
      </c>
      <c r="K30" s="69">
        <f t="shared" si="10"/>
        <v>699103.69486117864</v>
      </c>
      <c r="L30" s="53">
        <f t="shared" si="6"/>
        <v>6.4492503457374681</v>
      </c>
    </row>
    <row r="31" spans="1:12" x14ac:dyDescent="0.2">
      <c r="A31" s="12">
        <f t="shared" si="11"/>
        <v>883855574.94856262</v>
      </c>
      <c r="B31" s="33">
        <f t="shared" si="0"/>
        <v>30.330778235094204</v>
      </c>
      <c r="C31" s="52">
        <f t="shared" si="1"/>
        <v>15.299999999999997</v>
      </c>
      <c r="D31" s="34">
        <f t="shared" si="2"/>
        <v>17.999999999999996</v>
      </c>
      <c r="E31" s="34">
        <f t="shared" si="3"/>
        <v>125.99999999999997</v>
      </c>
      <c r="F31" s="43">
        <f t="shared" ref="F31:F46" si="12">(Ao/-Lambda)*(1-EXP(Lambda*B31))</f>
        <v>71598194310.156769</v>
      </c>
      <c r="G31" s="43">
        <f t="shared" si="4"/>
        <v>4679620543.1475019</v>
      </c>
      <c r="H31" s="33">
        <f t="shared" ref="H31:H46" si="13">1/Lambda*LN(Agrenz/G31)</f>
        <v>155.57886579081753</v>
      </c>
      <c r="I31" s="34">
        <f t="shared" si="5"/>
        <v>7</v>
      </c>
      <c r="J31" s="69">
        <f t="shared" ref="J31:J46" si="14">(G31*EXP(-LN(2)*(I31-1)*B31/$B$6))/$B$7</f>
        <v>0.10264221166430008</v>
      </c>
      <c r="K31" s="69">
        <f t="shared" ref="K31:K46" si="15">(G31*EXP(-LN(2)*$K$8/$B$6))/$B$7</f>
        <v>668517.22044964309</v>
      </c>
      <c r="L31" s="53">
        <f t="shared" si="6"/>
        <v>6.129405667896946</v>
      </c>
    </row>
    <row r="32" spans="1:12" x14ac:dyDescent="0.2">
      <c r="A32" s="12">
        <f t="shared" ref="A32:A47" si="16">F32-F31</f>
        <v>764347217.5401001</v>
      </c>
      <c r="B32" s="33">
        <f t="shared" si="0"/>
        <v>32.015821470377219</v>
      </c>
      <c r="C32" s="52">
        <f t="shared" si="1"/>
        <v>16.149999999999999</v>
      </c>
      <c r="D32" s="34">
        <f t="shared" si="2"/>
        <v>19</v>
      </c>
      <c r="E32" s="34">
        <f t="shared" si="3"/>
        <v>114</v>
      </c>
      <c r="F32" s="43">
        <f t="shared" si="12"/>
        <v>72362541527.696869</v>
      </c>
      <c r="G32" s="43">
        <f t="shared" si="4"/>
        <v>4480652726.1731815</v>
      </c>
      <c r="H32" s="33">
        <f t="shared" si="13"/>
        <v>155.07489739639928</v>
      </c>
      <c r="I32" s="34">
        <f t="shared" si="5"/>
        <v>6</v>
      </c>
      <c r="J32" s="69">
        <f t="shared" si="14"/>
        <v>0.64958302005823287</v>
      </c>
      <c r="K32" s="69">
        <f t="shared" si="15"/>
        <v>640093.24659616884</v>
      </c>
      <c r="L32" s="53">
        <f t="shared" si="6"/>
        <v>5.8436957190020262</v>
      </c>
    </row>
    <row r="33" spans="1:12" x14ac:dyDescent="0.2">
      <c r="A33" s="12">
        <f t="shared" si="16"/>
        <v>660997888.70516968</v>
      </c>
      <c r="B33" s="33">
        <f t="shared" si="0"/>
        <v>33.70086470566023</v>
      </c>
      <c r="C33" s="52">
        <f t="shared" si="1"/>
        <v>16.999999999999996</v>
      </c>
      <c r="D33" s="34">
        <f t="shared" si="2"/>
        <v>19.999999999999996</v>
      </c>
      <c r="E33" s="34">
        <f t="shared" si="3"/>
        <v>119.99999999999997</v>
      </c>
      <c r="F33" s="43">
        <f t="shared" si="12"/>
        <v>73023539416.402039</v>
      </c>
      <c r="G33" s="43">
        <f t="shared" si="4"/>
        <v>4295502318.6118851</v>
      </c>
      <c r="H33" s="33">
        <f t="shared" si="13"/>
        <v>154.58540560486131</v>
      </c>
      <c r="I33" s="34">
        <f t="shared" si="5"/>
        <v>6</v>
      </c>
      <c r="J33" s="69">
        <f t="shared" si="14"/>
        <v>0.30119950476975738</v>
      </c>
      <c r="K33" s="69">
        <f t="shared" si="15"/>
        <v>613643.18837312644</v>
      </c>
      <c r="L33" s="53">
        <f t="shared" si="6"/>
        <v>5.5869863267602726</v>
      </c>
    </row>
    <row r="34" spans="1:12" x14ac:dyDescent="0.2">
      <c r="A34" s="12">
        <f t="shared" si="16"/>
        <v>571622685.14411926</v>
      </c>
      <c r="B34" s="33">
        <f t="shared" si="0"/>
        <v>35.385907940943241</v>
      </c>
      <c r="C34" s="52">
        <f t="shared" si="1"/>
        <v>17.849999999999998</v>
      </c>
      <c r="D34" s="34">
        <f t="shared" si="2"/>
        <v>20.999999999999996</v>
      </c>
      <c r="E34" s="34">
        <f t="shared" si="3"/>
        <v>125.99999999999997</v>
      </c>
      <c r="F34" s="43">
        <f t="shared" si="12"/>
        <v>73595162101.546158</v>
      </c>
      <c r="G34" s="43">
        <f t="shared" si="4"/>
        <v>4122978268.9941831</v>
      </c>
      <c r="H34" s="33">
        <f t="shared" si="13"/>
        <v>154.10992005611044</v>
      </c>
      <c r="I34" s="34">
        <f t="shared" si="5"/>
        <v>6</v>
      </c>
      <c r="J34" s="69">
        <f t="shared" si="14"/>
        <v>0.13982932404794857</v>
      </c>
      <c r="K34" s="69">
        <f t="shared" si="15"/>
        <v>588996.89557059761</v>
      </c>
      <c r="L34" s="53">
        <f t="shared" si="6"/>
        <v>5.3551212622072546</v>
      </c>
    </row>
    <row r="35" spans="1:12" x14ac:dyDescent="0.2">
      <c r="A35" s="12">
        <f t="shared" si="16"/>
        <v>494332129.88235474</v>
      </c>
      <c r="B35" s="33">
        <f t="shared" si="0"/>
        <v>37.070951176226252</v>
      </c>
      <c r="C35" s="52">
        <f t="shared" si="1"/>
        <v>18.699999999999996</v>
      </c>
      <c r="D35" s="34">
        <f t="shared" si="2"/>
        <v>21.999999999999996</v>
      </c>
      <c r="E35" s="34">
        <f t="shared" si="3"/>
        <v>131.99999999999997</v>
      </c>
      <c r="F35" s="43">
        <f t="shared" si="12"/>
        <v>74089494231.428513</v>
      </c>
      <c r="G35" s="43">
        <f t="shared" si="4"/>
        <v>3962005039.1138253</v>
      </c>
      <c r="H35" s="33">
        <f t="shared" si="13"/>
        <v>153.64797267370048</v>
      </c>
      <c r="I35" s="34">
        <f t="shared" si="5"/>
        <v>6</v>
      </c>
      <c r="J35" s="69">
        <f t="shared" si="14"/>
        <v>6.4990391448186954E-2</v>
      </c>
      <c r="K35" s="69">
        <f t="shared" si="15"/>
        <v>566000.71987340366</v>
      </c>
      <c r="L35" s="53">
        <f t="shared" si="6"/>
        <v>5.1447000359741386</v>
      </c>
    </row>
    <row r="36" spans="1:12" x14ac:dyDescent="0.2">
      <c r="A36" s="12">
        <f t="shared" si="16"/>
        <v>427492226.92658997</v>
      </c>
      <c r="B36" s="33">
        <f t="shared" si="0"/>
        <v>38.755994411509263</v>
      </c>
      <c r="C36" s="52">
        <f t="shared" si="1"/>
        <v>19.549999999999997</v>
      </c>
      <c r="D36" s="34">
        <f t="shared" si="2"/>
        <v>22.999999999999996</v>
      </c>
      <c r="E36" s="34">
        <f t="shared" si="3"/>
        <v>114.99999999999999</v>
      </c>
      <c r="F36" s="43">
        <f t="shared" si="12"/>
        <v>74516986458.355103</v>
      </c>
      <c r="G36" s="43">
        <f t="shared" si="4"/>
        <v>3811610560.5296731</v>
      </c>
      <c r="H36" s="33">
        <f t="shared" si="13"/>
        <v>153.19909954412054</v>
      </c>
      <c r="I36" s="34">
        <f t="shared" si="5"/>
        <v>5</v>
      </c>
      <c r="J36" s="69">
        <f t="shared" si="14"/>
        <v>0.85442461296516048</v>
      </c>
      <c r="K36" s="69">
        <f t="shared" si="15"/>
        <v>544515.79436138191</v>
      </c>
      <c r="L36" s="53">
        <f t="shared" si="6"/>
        <v>4.9529136555615096</v>
      </c>
    </row>
    <row r="37" spans="1:12" x14ac:dyDescent="0.2">
      <c r="A37" s="12">
        <f t="shared" si="16"/>
        <v>369689917.03240967</v>
      </c>
      <c r="B37" s="33">
        <f t="shared" si="0"/>
        <v>40.441037646792275</v>
      </c>
      <c r="C37" s="52">
        <f t="shared" si="1"/>
        <v>20.399999999999995</v>
      </c>
      <c r="D37" s="34">
        <f t="shared" si="2"/>
        <v>23.999999999999996</v>
      </c>
      <c r="E37" s="34">
        <f t="shared" si="3"/>
        <v>119.99999999999999</v>
      </c>
      <c r="F37" s="43">
        <f t="shared" si="12"/>
        <v>74886676375.387512</v>
      </c>
      <c r="G37" s="43">
        <f t="shared" si="4"/>
        <v>3670915508.5974278</v>
      </c>
      <c r="H37" s="33">
        <f t="shared" si="13"/>
        <v>152.76284259332638</v>
      </c>
      <c r="I37" s="34">
        <f t="shared" si="5"/>
        <v>5</v>
      </c>
      <c r="J37" s="69">
        <f t="shared" si="14"/>
        <v>0.46023235925454764</v>
      </c>
      <c r="K37" s="69">
        <f t="shared" si="15"/>
        <v>524416.501228204</v>
      </c>
      <c r="L37" s="53">
        <f t="shared" si="6"/>
        <v>4.7774214382811051</v>
      </c>
    </row>
    <row r="38" spans="1:12" x14ac:dyDescent="0.2">
      <c r="A38" s="152">
        <f t="shared" si="16"/>
        <v>319703204.28517151</v>
      </c>
      <c r="B38" s="153">
        <f t="shared" si="0"/>
        <v>42.126080882075286</v>
      </c>
      <c r="C38" s="154">
        <f t="shared" si="1"/>
        <v>21.249999999999996</v>
      </c>
      <c r="D38" s="155">
        <f t="shared" si="2"/>
        <v>24.999999999999996</v>
      </c>
      <c r="E38" s="155">
        <f t="shared" si="3"/>
        <v>124.99999999999999</v>
      </c>
      <c r="F38" s="156">
        <f t="shared" si="12"/>
        <v>75206379579.672684</v>
      </c>
      <c r="G38" s="156">
        <f t="shared" si="4"/>
        <v>3539123744.9257741</v>
      </c>
      <c r="H38" s="153">
        <f t="shared" si="13"/>
        <v>152.33875106234288</v>
      </c>
      <c r="I38" s="155">
        <f t="shared" si="5"/>
        <v>5</v>
      </c>
      <c r="J38" s="157">
        <f t="shared" si="14"/>
        <v>0.24816243601400551</v>
      </c>
      <c r="K38" s="69">
        <f t="shared" si="15"/>
        <v>505589.10641796771</v>
      </c>
      <c r="L38" s="53">
        <f t="shared" si="6"/>
        <v>4.6162573843218171</v>
      </c>
    </row>
    <row r="39" spans="1:12" x14ac:dyDescent="0.2">
      <c r="A39" s="12">
        <f t="shared" si="16"/>
        <v>276475321.94187927</v>
      </c>
      <c r="B39" s="33">
        <f t="shared" si="0"/>
        <v>43.811124117358297</v>
      </c>
      <c r="C39" s="52">
        <f t="shared" si="1"/>
        <v>22.099999999999994</v>
      </c>
      <c r="D39" s="34">
        <f t="shared" si="2"/>
        <v>25.999999999999993</v>
      </c>
      <c r="E39" s="34">
        <f t="shared" si="3"/>
        <v>129.99999999999997</v>
      </c>
      <c r="F39" s="43">
        <f t="shared" si="12"/>
        <v>75482854901.614563</v>
      </c>
      <c r="G39" s="43">
        <f t="shared" si="4"/>
        <v>3415513796.4531484</v>
      </c>
      <c r="H39" s="33">
        <f t="shared" si="13"/>
        <v>151.92638278686641</v>
      </c>
      <c r="I39" s="34">
        <f t="shared" si="5"/>
        <v>5</v>
      </c>
      <c r="J39" s="69">
        <f t="shared" si="14"/>
        <v>0.13394727198282633</v>
      </c>
      <c r="K39" s="69">
        <f t="shared" si="15"/>
        <v>487930.54235044977</v>
      </c>
      <c r="L39" s="53">
        <f t="shared" si="6"/>
        <v>4.4677581515574953</v>
      </c>
    </row>
    <row r="40" spans="1:12" x14ac:dyDescent="0.2">
      <c r="A40" s="12">
        <f t="shared" si="16"/>
        <v>239092391.37521362</v>
      </c>
      <c r="B40" s="33">
        <f t="shared" si="0"/>
        <v>45.496167352641308</v>
      </c>
      <c r="C40" s="52">
        <f t="shared" si="1"/>
        <v>22.949999999999996</v>
      </c>
      <c r="D40" s="34">
        <f t="shared" si="2"/>
        <v>26.999999999999996</v>
      </c>
      <c r="E40" s="34">
        <f t="shared" si="3"/>
        <v>134.99999999999997</v>
      </c>
      <c r="F40" s="43">
        <f t="shared" si="12"/>
        <v>75721947292.989777</v>
      </c>
      <c r="G40" s="43">
        <f t="shared" si="4"/>
        <v>3299431254.5965052</v>
      </c>
      <c r="H40" s="33">
        <f t="shared" si="13"/>
        <v>151.52530528835049</v>
      </c>
      <c r="I40" s="34">
        <f t="shared" si="5"/>
        <v>5</v>
      </c>
      <c r="J40" s="69">
        <f t="shared" si="14"/>
        <v>7.2369312443935699E-2</v>
      </c>
      <c r="K40" s="69">
        <f t="shared" si="15"/>
        <v>471347.32208521501</v>
      </c>
      <c r="L40" s="53">
        <f t="shared" si="6"/>
        <v>4.3305070318094305</v>
      </c>
    </row>
    <row r="41" spans="1:12" x14ac:dyDescent="0.2">
      <c r="A41" s="12">
        <f t="shared" si="16"/>
        <v>206764101.80848694</v>
      </c>
      <c r="B41" s="33">
        <f t="shared" si="0"/>
        <v>47.181210587924319</v>
      </c>
      <c r="C41" s="52">
        <f t="shared" si="1"/>
        <v>23.799999999999994</v>
      </c>
      <c r="D41" s="34">
        <f t="shared" si="2"/>
        <v>27.999999999999993</v>
      </c>
      <c r="E41" s="34">
        <f t="shared" si="3"/>
        <v>139.99999999999997</v>
      </c>
      <c r="F41" s="43">
        <f t="shared" si="12"/>
        <v>75928711394.798264</v>
      </c>
      <c r="G41" s="43">
        <f t="shared" si="4"/>
        <v>3190281991.3780789</v>
      </c>
      <c r="H41" s="33">
        <f t="shared" si="13"/>
        <v>151.13509668608319</v>
      </c>
      <c r="I41" s="34">
        <f t="shared" si="5"/>
        <v>5</v>
      </c>
      <c r="J41" s="69">
        <f t="shared" si="14"/>
        <v>3.9136498600256656E-2</v>
      </c>
      <c r="K41" s="69">
        <f t="shared" si="15"/>
        <v>455754.57019686844</v>
      </c>
      <c r="L41" s="53">
        <f t="shared" si="6"/>
        <v>4.2032899284013947</v>
      </c>
    </row>
    <row r="42" spans="1:12" x14ac:dyDescent="0.2">
      <c r="A42" s="12">
        <f t="shared" si="16"/>
        <v>178807002.39254761</v>
      </c>
      <c r="B42" s="33">
        <f t="shared" si="0"/>
        <v>48.86625382320733</v>
      </c>
      <c r="C42" s="52">
        <f t="shared" si="1"/>
        <v>24.649999999999995</v>
      </c>
      <c r="D42" s="34">
        <f t="shared" si="2"/>
        <v>28.999999999999996</v>
      </c>
      <c r="E42" s="34">
        <f t="shared" si="3"/>
        <v>144.99999999999997</v>
      </c>
      <c r="F42" s="43">
        <f t="shared" si="12"/>
        <v>76107518397.190811</v>
      </c>
      <c r="G42" s="43">
        <f t="shared" si="4"/>
        <v>3087526101.3059158</v>
      </c>
      <c r="H42" s="33">
        <f t="shared" si="13"/>
        <v>150.75534644129348</v>
      </c>
      <c r="I42" s="34">
        <f t="shared" si="5"/>
        <v>5</v>
      </c>
      <c r="J42" s="69">
        <f t="shared" si="14"/>
        <v>2.1183663402558717E-2</v>
      </c>
      <c r="K42" s="69">
        <f t="shared" si="15"/>
        <v>441075.15732941654</v>
      </c>
      <c r="L42" s="53">
        <f t="shared" si="6"/>
        <v>4.085060438369382</v>
      </c>
    </row>
    <row r="43" spans="1:12" x14ac:dyDescent="0.2">
      <c r="A43" s="12">
        <f t="shared" si="16"/>
        <v>154630053.40368652</v>
      </c>
      <c r="B43" s="33">
        <f t="shared" si="0"/>
        <v>50.551297058490341</v>
      </c>
      <c r="C43" s="52">
        <f t="shared" si="1"/>
        <v>25.499999999999993</v>
      </c>
      <c r="D43" s="34">
        <f t="shared" si="2"/>
        <v>29.999999999999993</v>
      </c>
      <c r="E43" s="34">
        <f t="shared" si="3"/>
        <v>119.99999999999997</v>
      </c>
      <c r="F43" s="43">
        <f t="shared" si="12"/>
        <v>76262148450.594498</v>
      </c>
      <c r="G43" s="43">
        <f t="shared" si="4"/>
        <v>2990672488.2586088</v>
      </c>
      <c r="H43" s="33">
        <f t="shared" si="13"/>
        <v>150.3856559453946</v>
      </c>
      <c r="I43" s="34">
        <f t="shared" si="5"/>
        <v>4</v>
      </c>
      <c r="J43" s="69">
        <f t="shared" si="14"/>
        <v>0.89642780264629096</v>
      </c>
      <c r="K43" s="69">
        <f t="shared" si="15"/>
        <v>427238.926894087</v>
      </c>
      <c r="L43" s="53">
        <f t="shared" si="6"/>
        <v>3.9749119151461336</v>
      </c>
    </row>
    <row r="44" spans="1:12" x14ac:dyDescent="0.2">
      <c r="A44" s="12">
        <f t="shared" si="16"/>
        <v>133722131.10049438</v>
      </c>
      <c r="B44" s="33">
        <f t="shared" si="0"/>
        <v>52.236340293773353</v>
      </c>
      <c r="C44" s="52">
        <f t="shared" si="1"/>
        <v>26.349999999999994</v>
      </c>
      <c r="D44" s="34">
        <f t="shared" si="2"/>
        <v>30.999999999999993</v>
      </c>
      <c r="E44" s="34">
        <f t="shared" si="3"/>
        <v>123.99999999999997</v>
      </c>
      <c r="F44" s="43">
        <f t="shared" si="12"/>
        <v>76395870581.694992</v>
      </c>
      <c r="G44" s="43">
        <f t="shared" si="4"/>
        <v>2899274025.8707781</v>
      </c>
      <c r="H44" s="33">
        <f t="shared" si="13"/>
        <v>150.02563896513877</v>
      </c>
      <c r="I44" s="34">
        <f t="shared" si="5"/>
        <v>4</v>
      </c>
      <c r="J44" s="69">
        <f t="shared" si="14"/>
        <v>0.56203566702631957</v>
      </c>
      <c r="K44" s="69">
        <f t="shared" si="15"/>
        <v>414182.00369582546</v>
      </c>
      <c r="L44" s="53">
        <f t="shared" si="6"/>
        <v>3.8720549357287579</v>
      </c>
    </row>
    <row r="45" spans="1:12" x14ac:dyDescent="0.2">
      <c r="A45" s="12">
        <f t="shared" si="16"/>
        <v>115641222.08105469</v>
      </c>
      <c r="B45" s="33">
        <f t="shared" si="0"/>
        <v>53.921383529056364</v>
      </c>
      <c r="C45" s="52">
        <f t="shared" si="1"/>
        <v>27.199999999999996</v>
      </c>
      <c r="D45" s="34">
        <f t="shared" si="2"/>
        <v>31.999999999999996</v>
      </c>
      <c r="E45" s="34">
        <f t="shared" si="3"/>
        <v>127.99999999999999</v>
      </c>
      <c r="F45" s="43">
        <f t="shared" si="12"/>
        <v>76511511803.776047</v>
      </c>
      <c r="G45" s="43">
        <f t="shared" si="4"/>
        <v>2812923228.0800023</v>
      </c>
      <c r="H45" s="33">
        <f t="shared" si="13"/>
        <v>149.67492195776734</v>
      </c>
      <c r="I45" s="34">
        <f t="shared" si="5"/>
        <v>4</v>
      </c>
      <c r="J45" s="69">
        <f t="shared" si="14"/>
        <v>0.352663604114336</v>
      </c>
      <c r="K45" s="69">
        <f t="shared" si="15"/>
        <v>401846.17544000031</v>
      </c>
      <c r="L45" s="53">
        <f t="shared" si="6"/>
        <v>3.7757989903414235</v>
      </c>
    </row>
    <row r="46" spans="1:12" x14ac:dyDescent="0.2">
      <c r="A46" s="12">
        <f t="shared" si="16"/>
        <v>100005078.69822693</v>
      </c>
      <c r="B46" s="33">
        <f t="shared" ref="B46:B70" si="17">B45+dt</f>
        <v>55.606426764339375</v>
      </c>
      <c r="C46" s="52">
        <f t="shared" ref="C46:C70" si="18">B46*$F$4</f>
        <v>28.049999999999994</v>
      </c>
      <c r="D46" s="34">
        <f t="shared" ref="D46:D70" si="19">C46/Fgrad</f>
        <v>32.999999999999993</v>
      </c>
      <c r="E46" s="34">
        <f t="shared" ref="E46:E70" si="20">D46*I46</f>
        <v>131.99999999999997</v>
      </c>
      <c r="F46" s="43">
        <f t="shared" si="12"/>
        <v>76611516882.474274</v>
      </c>
      <c r="G46" s="43">
        <f t="shared" ref="G46:G70" si="21">F46/C46</f>
        <v>2731248373.7067485</v>
      </c>
      <c r="H46" s="33">
        <f t="shared" si="13"/>
        <v>149.33314426925293</v>
      </c>
      <c r="I46" s="34">
        <f t="shared" ref="I46:I70" si="22">IF(TRUNC(L46)&lt;L46,TRUNC(L46)+1,L46)</f>
        <v>4</v>
      </c>
      <c r="J46" s="69">
        <f t="shared" si="14"/>
        <v>0.22145837457895712</v>
      </c>
      <c r="K46" s="69">
        <f t="shared" si="15"/>
        <v>390178.33910096408</v>
      </c>
      <c r="L46" s="53">
        <f t="shared" ref="L46:L70" si="23">(H46*$F$4)/C46+1</f>
        <v>3.6855374991478658</v>
      </c>
    </row>
    <row r="47" spans="1:12" x14ac:dyDescent="0.2">
      <c r="A47" s="12">
        <f t="shared" si="16"/>
        <v>86483137.980209351</v>
      </c>
      <c r="B47" s="33">
        <f t="shared" si="17"/>
        <v>57.291469999622386</v>
      </c>
      <c r="C47" s="52">
        <f t="shared" si="18"/>
        <v>28.899999999999995</v>
      </c>
      <c r="D47" s="34">
        <f t="shared" si="19"/>
        <v>33.999999999999993</v>
      </c>
      <c r="E47" s="34">
        <f t="shared" si="20"/>
        <v>135.99999999999997</v>
      </c>
      <c r="F47" s="43">
        <f t="shared" ref="F47:F62" si="24">(Ao/-Lambda)*(1-EXP(Lambda*B47))</f>
        <v>76698000020.454483</v>
      </c>
      <c r="G47" s="43">
        <f t="shared" si="21"/>
        <v>2653910035.309844</v>
      </c>
      <c r="H47" s="33">
        <f t="shared" ref="H47:H62" si="25">1/Lambda*LN(Agrenz/G47)</f>
        <v>148.99995822849147</v>
      </c>
      <c r="I47" s="34">
        <f t="shared" si="22"/>
        <v>4</v>
      </c>
      <c r="J47" s="69">
        <f t="shared" ref="J47:J62" si="26">(G47*EXP(-LN(2)*(I47-1)*B47/$B$6))/$B$7</f>
        <v>0.13916988201322375</v>
      </c>
      <c r="K47" s="69">
        <f t="shared" ref="K47:K62" si="27">(G47*EXP(-LN(2)*$K$8/$B$6))/$B$7</f>
        <v>379130.00504426344</v>
      </c>
      <c r="L47" s="53">
        <f t="shared" si="23"/>
        <v>3.600735471257301</v>
      </c>
    </row>
    <row r="48" spans="1:12" x14ac:dyDescent="0.2">
      <c r="A48" s="12">
        <f t="shared" ref="A48:A63" si="28">F48-F47</f>
        <v>74789533.214355469</v>
      </c>
      <c r="B48" s="33">
        <f t="shared" si="17"/>
        <v>58.976513234905397</v>
      </c>
      <c r="C48" s="52">
        <f t="shared" si="18"/>
        <v>29.749999999999993</v>
      </c>
      <c r="D48" s="34">
        <f t="shared" si="19"/>
        <v>34.999999999999993</v>
      </c>
      <c r="E48" s="34">
        <f t="shared" si="20"/>
        <v>139.99999999999997</v>
      </c>
      <c r="F48" s="43">
        <f t="shared" si="24"/>
        <v>76772789553.668839</v>
      </c>
      <c r="G48" s="43">
        <f t="shared" si="21"/>
        <v>2580597968.1905499</v>
      </c>
      <c r="H48" s="33">
        <f t="shared" si="25"/>
        <v>148.67502914986804</v>
      </c>
      <c r="I48" s="34">
        <f t="shared" si="22"/>
        <v>4</v>
      </c>
      <c r="J48" s="69">
        <f t="shared" si="26"/>
        <v>8.7520051280702935E-2</v>
      </c>
      <c r="K48" s="69">
        <f t="shared" si="27"/>
        <v>368656.85259864997</v>
      </c>
      <c r="L48" s="53">
        <f t="shared" si="23"/>
        <v>3.5209192777757221</v>
      </c>
    </row>
    <row r="49" spans="1:12" x14ac:dyDescent="0.2">
      <c r="A49" s="12">
        <f t="shared" si="28"/>
        <v>64677050.452346802</v>
      </c>
      <c r="B49" s="33">
        <f t="shared" si="17"/>
        <v>60.661556470188408</v>
      </c>
      <c r="C49" s="52">
        <f t="shared" si="18"/>
        <v>30.599999999999994</v>
      </c>
      <c r="D49" s="34">
        <f t="shared" si="19"/>
        <v>35.999999999999993</v>
      </c>
      <c r="E49" s="34">
        <f t="shared" si="20"/>
        <v>143.99999999999997</v>
      </c>
      <c r="F49" s="43">
        <f t="shared" si="24"/>
        <v>76837466604.121185</v>
      </c>
      <c r="G49" s="43">
        <f t="shared" si="21"/>
        <v>2511028320.3961177</v>
      </c>
      <c r="H49" s="33">
        <f t="shared" si="25"/>
        <v>148.35803525603239</v>
      </c>
      <c r="I49" s="34">
        <f t="shared" si="22"/>
        <v>4</v>
      </c>
      <c r="J49" s="69">
        <f t="shared" si="26"/>
        <v>5.5076581098987276E-2</v>
      </c>
      <c r="K49" s="69">
        <f t="shared" si="27"/>
        <v>358718.3314851597</v>
      </c>
      <c r="L49" s="53">
        <f t="shared" si="23"/>
        <v>3.4456681280333066</v>
      </c>
    </row>
    <row r="50" spans="1:12" x14ac:dyDescent="0.2">
      <c r="A50" s="12">
        <f t="shared" si="28"/>
        <v>55931902.171707153</v>
      </c>
      <c r="B50" s="33">
        <f t="shared" si="17"/>
        <v>62.346599705471419</v>
      </c>
      <c r="C50" s="52">
        <f t="shared" si="18"/>
        <v>31.449999999999992</v>
      </c>
      <c r="D50" s="34">
        <f t="shared" si="19"/>
        <v>36.999999999999993</v>
      </c>
      <c r="E50" s="34">
        <f t="shared" si="20"/>
        <v>147.99999999999997</v>
      </c>
      <c r="F50" s="43">
        <f t="shared" si="24"/>
        <v>76893398506.292892</v>
      </c>
      <c r="G50" s="43">
        <f t="shared" si="21"/>
        <v>2444941128.9759274</v>
      </c>
      <c r="H50" s="33">
        <f t="shared" si="25"/>
        <v>148.04866753201998</v>
      </c>
      <c r="I50" s="34">
        <f t="shared" si="22"/>
        <v>4</v>
      </c>
      <c r="J50" s="69">
        <f t="shared" si="26"/>
        <v>3.4682621704689866E-2</v>
      </c>
      <c r="K50" s="69">
        <f t="shared" si="27"/>
        <v>349277.30413941818</v>
      </c>
      <c r="L50" s="53">
        <f t="shared" si="23"/>
        <v>3.3746069269440446</v>
      </c>
    </row>
    <row r="51" spans="1:12" x14ac:dyDescent="0.2">
      <c r="A51" s="12">
        <f t="shared" si="28"/>
        <v>48369207.604034424</v>
      </c>
      <c r="B51" s="33">
        <f t="shared" si="17"/>
        <v>64.031642940754438</v>
      </c>
      <c r="C51" s="52">
        <f t="shared" si="18"/>
        <v>32.299999999999997</v>
      </c>
      <c r="D51" s="34">
        <f t="shared" si="19"/>
        <v>38</v>
      </c>
      <c r="E51" s="34">
        <f t="shared" si="20"/>
        <v>152</v>
      </c>
      <c r="F51" s="43">
        <f t="shared" si="24"/>
        <v>76941767713.896927</v>
      </c>
      <c r="G51" s="43">
        <f t="shared" si="21"/>
        <v>2382098071.6376758</v>
      </c>
      <c r="H51" s="33">
        <f t="shared" si="25"/>
        <v>147.74662952108108</v>
      </c>
      <c r="I51" s="34">
        <f t="shared" si="22"/>
        <v>4</v>
      </c>
      <c r="J51" s="69">
        <f t="shared" si="26"/>
        <v>2.1854018189219417E-2</v>
      </c>
      <c r="K51" s="69">
        <f t="shared" si="27"/>
        <v>340299.72451966797</v>
      </c>
      <c r="L51" s="53">
        <f t="shared" si="23"/>
        <v>3.3074002592403304</v>
      </c>
    </row>
    <row r="52" spans="1:12" x14ac:dyDescent="0.2">
      <c r="A52" s="12">
        <f t="shared" si="28"/>
        <v>41829084.17918396</v>
      </c>
      <c r="B52" s="33">
        <f t="shared" si="17"/>
        <v>65.716686176037456</v>
      </c>
      <c r="C52" s="52">
        <f t="shared" si="18"/>
        <v>33.15</v>
      </c>
      <c r="D52" s="34">
        <f t="shared" si="19"/>
        <v>39</v>
      </c>
      <c r="E52" s="34">
        <f t="shared" si="20"/>
        <v>156</v>
      </c>
      <c r="F52" s="43">
        <f t="shared" si="24"/>
        <v>76983596798.076111</v>
      </c>
      <c r="G52" s="43">
        <f t="shared" si="21"/>
        <v>2322280446.3974695</v>
      </c>
      <c r="H52" s="33">
        <f t="shared" si="25"/>
        <v>147.45163707175888</v>
      </c>
      <c r="I52" s="34">
        <f t="shared" si="22"/>
        <v>4</v>
      </c>
      <c r="J52" s="69">
        <f t="shared" si="26"/>
        <v>1.377889777598415E-2</v>
      </c>
      <c r="K52" s="69">
        <f t="shared" si="27"/>
        <v>331754.34948535281</v>
      </c>
      <c r="L52" s="53">
        <f t="shared" si="23"/>
        <v>3.2437472984680835</v>
      </c>
    </row>
    <row r="53" spans="1:12" x14ac:dyDescent="0.2">
      <c r="A53" s="12">
        <f t="shared" si="28"/>
        <v>36173267.455459595</v>
      </c>
      <c r="B53" s="33">
        <f t="shared" si="17"/>
        <v>67.401729411320474</v>
      </c>
      <c r="C53" s="52">
        <f t="shared" si="18"/>
        <v>34</v>
      </c>
      <c r="D53" s="34">
        <f t="shared" si="19"/>
        <v>40</v>
      </c>
      <c r="E53" s="34">
        <f t="shared" si="20"/>
        <v>160</v>
      </c>
      <c r="F53" s="43">
        <f t="shared" si="24"/>
        <v>77019770065.53157</v>
      </c>
      <c r="G53" s="43">
        <f t="shared" si="21"/>
        <v>2265287354.8685756</v>
      </c>
      <c r="H53" s="33">
        <f t="shared" si="25"/>
        <v>147.16341804491927</v>
      </c>
      <c r="I53" s="34">
        <f t="shared" si="22"/>
        <v>4</v>
      </c>
      <c r="J53" s="69">
        <f t="shared" si="26"/>
        <v>8.6926313840850894E-3</v>
      </c>
      <c r="K53" s="69">
        <f t="shared" si="27"/>
        <v>323612.47926693939</v>
      </c>
      <c r="L53" s="53">
        <f t="shared" si="23"/>
        <v>3.1833774790384299</v>
      </c>
    </row>
    <row r="54" spans="1:12" x14ac:dyDescent="0.2">
      <c r="A54" s="12">
        <f t="shared" si="28"/>
        <v>31282188.077514648</v>
      </c>
      <c r="B54" s="33">
        <f t="shared" si="17"/>
        <v>69.086772646603492</v>
      </c>
      <c r="C54" s="52">
        <f t="shared" si="18"/>
        <v>34.850000000000009</v>
      </c>
      <c r="D54" s="34">
        <f t="shared" si="19"/>
        <v>41.000000000000014</v>
      </c>
      <c r="E54" s="34">
        <f t="shared" si="20"/>
        <v>164.00000000000006</v>
      </c>
      <c r="F54" s="43">
        <f t="shared" si="24"/>
        <v>77051052253.609085</v>
      </c>
      <c r="G54" s="43">
        <f t="shared" si="21"/>
        <v>2210934067.5354109</v>
      </c>
      <c r="H54" s="33">
        <f t="shared" si="25"/>
        <v>146.88171198859712</v>
      </c>
      <c r="I54" s="34">
        <f t="shared" si="22"/>
        <v>4</v>
      </c>
      <c r="J54" s="69">
        <f t="shared" si="26"/>
        <v>5.4869613938052274E-3</v>
      </c>
      <c r="K54" s="69">
        <f t="shared" si="27"/>
        <v>315847.7239336301</v>
      </c>
      <c r="L54" s="53">
        <f t="shared" si="23"/>
        <v>3.1260468011718339</v>
      </c>
    </row>
    <row r="55" spans="1:12" x14ac:dyDescent="0.2">
      <c r="A55" s="12">
        <f t="shared" si="28"/>
        <v>27052443.966339111</v>
      </c>
      <c r="B55" s="33">
        <f t="shared" si="17"/>
        <v>70.771815881886511</v>
      </c>
      <c r="C55" s="52">
        <f t="shared" si="18"/>
        <v>35.70000000000001</v>
      </c>
      <c r="D55" s="34">
        <f t="shared" si="19"/>
        <v>42.000000000000014</v>
      </c>
      <c r="E55" s="34">
        <f t="shared" si="20"/>
        <v>168.00000000000006</v>
      </c>
      <c r="F55" s="43">
        <f t="shared" si="24"/>
        <v>77078104697.575424</v>
      </c>
      <c r="G55" s="43">
        <f t="shared" si="21"/>
        <v>2159050551.7528124</v>
      </c>
      <c r="H55" s="33">
        <f t="shared" si="25"/>
        <v>146.60626978770475</v>
      </c>
      <c r="I55" s="34">
        <f t="shared" si="22"/>
        <v>4</v>
      </c>
      <c r="J55" s="69">
        <f t="shared" si="26"/>
        <v>3.4653497531256109E-3</v>
      </c>
      <c r="K55" s="69">
        <f t="shared" si="27"/>
        <v>308435.79310754465</v>
      </c>
      <c r="L55" s="53">
        <f t="shared" si="23"/>
        <v>3.0715346633521587</v>
      </c>
    </row>
    <row r="56" spans="1:12" x14ac:dyDescent="0.2">
      <c r="A56" s="12">
        <f t="shared" si="28"/>
        <v>23394614.300552368</v>
      </c>
      <c r="B56" s="33">
        <f t="shared" si="17"/>
        <v>72.456859117169529</v>
      </c>
      <c r="C56" s="52">
        <f t="shared" si="18"/>
        <v>36.550000000000011</v>
      </c>
      <c r="D56" s="34">
        <f t="shared" si="19"/>
        <v>43.000000000000014</v>
      </c>
      <c r="E56" s="34">
        <f t="shared" si="20"/>
        <v>172.00000000000006</v>
      </c>
      <c r="F56" s="43">
        <f t="shared" si="24"/>
        <v>77101499311.875977</v>
      </c>
      <c r="G56" s="43">
        <f t="shared" si="21"/>
        <v>2109480145.3317635</v>
      </c>
      <c r="H56" s="33">
        <f t="shared" si="25"/>
        <v>146.33685329485999</v>
      </c>
      <c r="I56" s="34">
        <f t="shared" si="22"/>
        <v>4</v>
      </c>
      <c r="J56" s="69">
        <f t="shared" si="26"/>
        <v>2.1897163196996487E-3</v>
      </c>
      <c r="K56" s="69">
        <f t="shared" si="27"/>
        <v>301354.30647596624</v>
      </c>
      <c r="L56" s="53">
        <f t="shared" si="23"/>
        <v>3.0196411365033033</v>
      </c>
    </row>
    <row r="57" spans="1:12" x14ac:dyDescent="0.2">
      <c r="A57" s="12">
        <f t="shared" si="28"/>
        <v>20231369.075317383</v>
      </c>
      <c r="B57" s="33">
        <f t="shared" si="17"/>
        <v>74.141902352452547</v>
      </c>
      <c r="C57" s="52">
        <f t="shared" si="18"/>
        <v>37.400000000000013</v>
      </c>
      <c r="D57" s="34">
        <f t="shared" si="19"/>
        <v>44.000000000000014</v>
      </c>
      <c r="E57" s="34">
        <f t="shared" si="20"/>
        <v>132.00000000000006</v>
      </c>
      <c r="F57" s="43">
        <f t="shared" si="24"/>
        <v>77121730680.951294</v>
      </c>
      <c r="G57" s="43">
        <f t="shared" si="21"/>
        <v>2062078360.4532425</v>
      </c>
      <c r="H57" s="33">
        <f t="shared" si="25"/>
        <v>146.07323494784373</v>
      </c>
      <c r="I57" s="34">
        <f t="shared" si="22"/>
        <v>3</v>
      </c>
      <c r="J57" s="69">
        <f t="shared" si="26"/>
        <v>0.82648097362351958</v>
      </c>
      <c r="K57" s="69">
        <f t="shared" si="27"/>
        <v>294582.6229218918</v>
      </c>
      <c r="L57" s="53">
        <f t="shared" si="23"/>
        <v>2.9701846096886908</v>
      </c>
    </row>
    <row r="58" spans="1:12" x14ac:dyDescent="0.2">
      <c r="A58" s="12">
        <f t="shared" si="28"/>
        <v>17495834.272079468</v>
      </c>
      <c r="B58" s="33">
        <f t="shared" si="17"/>
        <v>75.826945587735565</v>
      </c>
      <c r="C58" s="52">
        <f t="shared" si="18"/>
        <v>38.250000000000021</v>
      </c>
      <c r="D58" s="34">
        <f t="shared" si="19"/>
        <v>45.000000000000028</v>
      </c>
      <c r="E58" s="34">
        <f t="shared" si="20"/>
        <v>135.00000000000009</v>
      </c>
      <c r="F58" s="43">
        <f t="shared" si="24"/>
        <v>77139226515.223373</v>
      </c>
      <c r="G58" s="43">
        <f t="shared" si="21"/>
        <v>2016711804.3195641</v>
      </c>
      <c r="H58" s="33">
        <f t="shared" si="25"/>
        <v>145.8151973784959</v>
      </c>
      <c r="I58" s="34">
        <f t="shared" si="22"/>
        <v>3</v>
      </c>
      <c r="J58" s="69">
        <f t="shared" si="26"/>
        <v>0.60449164474364225</v>
      </c>
      <c r="K58" s="69">
        <f t="shared" si="27"/>
        <v>288101.68633136631</v>
      </c>
      <c r="L58" s="53">
        <f t="shared" si="23"/>
        <v>2.9229997496045836</v>
      </c>
    </row>
    <row r="59" spans="1:12" x14ac:dyDescent="0.2">
      <c r="A59" s="12">
        <f t="shared" si="28"/>
        <v>15130178.078216553</v>
      </c>
      <c r="B59" s="33">
        <f t="shared" si="17"/>
        <v>77.511988823018584</v>
      </c>
      <c r="C59" s="52">
        <f t="shared" si="18"/>
        <v>39.100000000000023</v>
      </c>
      <c r="D59" s="34">
        <f t="shared" si="19"/>
        <v>46.000000000000028</v>
      </c>
      <c r="E59" s="34">
        <f t="shared" si="20"/>
        <v>138.00000000000009</v>
      </c>
      <c r="F59" s="43">
        <f t="shared" si="24"/>
        <v>77154356693.30159</v>
      </c>
      <c r="G59" s="43">
        <f t="shared" si="21"/>
        <v>1973257204.4322646</v>
      </c>
      <c r="H59" s="33">
        <f t="shared" si="25"/>
        <v>145.56253301720986</v>
      </c>
      <c r="I59" s="34">
        <f t="shared" si="22"/>
        <v>3</v>
      </c>
      <c r="J59" s="69">
        <f t="shared" si="26"/>
        <v>0.4423325773720822</v>
      </c>
      <c r="K59" s="69">
        <f t="shared" si="27"/>
        <v>281893.88634746638</v>
      </c>
      <c r="L59" s="53">
        <f t="shared" si="23"/>
        <v>2.8779357261696585</v>
      </c>
    </row>
    <row r="60" spans="1:12" x14ac:dyDescent="0.2">
      <c r="A60" s="12">
        <f t="shared" si="28"/>
        <v>13084388.267440796</v>
      </c>
      <c r="B60" s="33">
        <f t="shared" si="17"/>
        <v>79.197032058301602</v>
      </c>
      <c r="C60" s="52">
        <f t="shared" si="18"/>
        <v>39.950000000000024</v>
      </c>
      <c r="D60" s="34">
        <f t="shared" si="19"/>
        <v>47.000000000000028</v>
      </c>
      <c r="E60" s="34">
        <f t="shared" si="20"/>
        <v>141.00000000000009</v>
      </c>
      <c r="F60" s="43">
        <f t="shared" si="24"/>
        <v>77167441081.569031</v>
      </c>
      <c r="G60" s="43">
        <f t="shared" si="21"/>
        <v>1931600527.6988482</v>
      </c>
      <c r="H60" s="33">
        <f t="shared" si="25"/>
        <v>145.31504369658771</v>
      </c>
      <c r="I60" s="34">
        <f t="shared" si="22"/>
        <v>3</v>
      </c>
      <c r="J60" s="69">
        <f t="shared" si="26"/>
        <v>0.32381824216536065</v>
      </c>
      <c r="K60" s="69">
        <f t="shared" si="27"/>
        <v>275942.93252840691</v>
      </c>
      <c r="L60" s="53">
        <f t="shared" si="23"/>
        <v>2.8348546646244617</v>
      </c>
    </row>
    <row r="61" spans="1:12" x14ac:dyDescent="0.2">
      <c r="A61" s="12">
        <f t="shared" si="28"/>
        <v>11315214.893600464</v>
      </c>
      <c r="B61" s="33">
        <f t="shared" si="17"/>
        <v>80.88207529358462</v>
      </c>
      <c r="C61" s="52">
        <f t="shared" si="18"/>
        <v>40.800000000000026</v>
      </c>
      <c r="D61" s="34">
        <f t="shared" si="19"/>
        <v>48.000000000000028</v>
      </c>
      <c r="E61" s="34">
        <f t="shared" si="20"/>
        <v>144.00000000000009</v>
      </c>
      <c r="F61" s="43">
        <f t="shared" si="24"/>
        <v>77178756296.462631</v>
      </c>
      <c r="G61" s="43">
        <f t="shared" si="21"/>
        <v>1891636183.7368281</v>
      </c>
      <c r="H61" s="33">
        <f t="shared" si="25"/>
        <v>145.07254025727721</v>
      </c>
      <c r="I61" s="34">
        <f t="shared" si="22"/>
        <v>3</v>
      </c>
      <c r="J61" s="69">
        <f t="shared" si="26"/>
        <v>0.23715941749503563</v>
      </c>
      <c r="K61" s="69">
        <f t="shared" si="27"/>
        <v>270233.74053383258</v>
      </c>
      <c r="L61" s="53">
        <f t="shared" si="23"/>
        <v>2.7936302911454107</v>
      </c>
    </row>
    <row r="62" spans="1:12" x14ac:dyDescent="0.2">
      <c r="A62" s="12">
        <f t="shared" si="28"/>
        <v>9785255.9455566406</v>
      </c>
      <c r="B62" s="33">
        <f t="shared" si="17"/>
        <v>82.567118528867638</v>
      </c>
      <c r="C62" s="52">
        <f t="shared" si="18"/>
        <v>41.650000000000034</v>
      </c>
      <c r="D62" s="34">
        <f t="shared" si="19"/>
        <v>49.000000000000043</v>
      </c>
      <c r="E62" s="34">
        <f t="shared" si="20"/>
        <v>147.00000000000011</v>
      </c>
      <c r="F62" s="43">
        <f t="shared" si="24"/>
        <v>77188541552.408188</v>
      </c>
      <c r="G62" s="43">
        <f t="shared" si="21"/>
        <v>1853266303.7793067</v>
      </c>
      <c r="H62" s="33">
        <f t="shared" si="25"/>
        <v>144.8348421585201</v>
      </c>
      <c r="I62" s="34">
        <f t="shared" si="22"/>
        <v>3</v>
      </c>
      <c r="J62" s="69">
        <f t="shared" si="26"/>
        <v>0.17376382116528274</v>
      </c>
      <c r="K62" s="69">
        <f t="shared" si="27"/>
        <v>264752.32911132951</v>
      </c>
      <c r="L62" s="53">
        <f t="shared" si="23"/>
        <v>2.7541467443590397</v>
      </c>
    </row>
    <row r="63" spans="1:12" x14ac:dyDescent="0.2">
      <c r="A63" s="12">
        <f t="shared" si="28"/>
        <v>8462166.6332092285</v>
      </c>
      <c r="B63" s="33">
        <f t="shared" si="17"/>
        <v>84.252161764150657</v>
      </c>
      <c r="C63" s="52">
        <f t="shared" si="18"/>
        <v>42.500000000000036</v>
      </c>
      <c r="D63" s="34">
        <f t="shared" si="19"/>
        <v>50.000000000000043</v>
      </c>
      <c r="E63" s="34">
        <f t="shared" si="20"/>
        <v>150.00000000000011</v>
      </c>
      <c r="F63" s="43">
        <f t="shared" ref="F63:F70" si="29">(Ao/-Lambda)*(1-EXP(Lambda*B63))</f>
        <v>77197003719.041397</v>
      </c>
      <c r="G63" s="43">
        <f t="shared" si="21"/>
        <v>1816400087.5068548</v>
      </c>
      <c r="H63" s="33">
        <f t="shared" ref="H63:H70" si="30">1/Lambda*LN(Agrenz/G63)</f>
        <v>144.60177709550342</v>
      </c>
      <c r="I63" s="34">
        <f t="shared" si="22"/>
        <v>3</v>
      </c>
      <c r="J63" s="69">
        <f t="shared" ref="J63:J70" si="31">(G63*EXP(-LN(2)*(I63-1)*B63/$B$6))/$B$7</f>
        <v>0.12736550145725442</v>
      </c>
      <c r="K63" s="69">
        <f t="shared" ref="K63:K70" si="32">(G63*EXP(-LN(2)*$K$8/$B$6))/$B$7</f>
        <v>259485.72678669353</v>
      </c>
      <c r="L63" s="53">
        <f t="shared" si="23"/>
        <v>2.7162975295552778</v>
      </c>
    </row>
    <row r="64" spans="1:12" x14ac:dyDescent="0.2">
      <c r="A64" s="12">
        <f t="shared" ref="A64:A70" si="33">F64-F63</f>
        <v>7317975.587600708</v>
      </c>
      <c r="B64" s="33">
        <f t="shared" si="17"/>
        <v>85.937204999433675</v>
      </c>
      <c r="C64" s="52">
        <f t="shared" si="18"/>
        <v>43.350000000000037</v>
      </c>
      <c r="D64" s="34">
        <f t="shared" si="19"/>
        <v>51.000000000000043</v>
      </c>
      <c r="E64" s="34">
        <f t="shared" si="20"/>
        <v>153.00000000000011</v>
      </c>
      <c r="F64" s="43">
        <f t="shared" si="29"/>
        <v>77204321694.628998</v>
      </c>
      <c r="G64" s="43">
        <f t="shared" si="21"/>
        <v>1780953210.9487643</v>
      </c>
      <c r="H64" s="33">
        <f t="shared" si="30"/>
        <v>144.37318062521453</v>
      </c>
      <c r="I64" s="34">
        <f t="shared" si="22"/>
        <v>3</v>
      </c>
      <c r="J64" s="69">
        <f t="shared" si="31"/>
        <v>9.3392407783660994E-2</v>
      </c>
      <c r="K64" s="69">
        <f t="shared" si="32"/>
        <v>254421.88727839489</v>
      </c>
      <c r="L64" s="53">
        <f t="shared" si="23"/>
        <v>2.6799845960334174</v>
      </c>
    </row>
    <row r="65" spans="1:21" x14ac:dyDescent="0.2">
      <c r="A65" s="12">
        <f t="shared" si="33"/>
        <v>6328493.5197143555</v>
      </c>
      <c r="B65" s="33">
        <f t="shared" si="17"/>
        <v>87.622248234716693</v>
      </c>
      <c r="C65" s="52">
        <f t="shared" si="18"/>
        <v>44.200000000000038</v>
      </c>
      <c r="D65" s="34">
        <f t="shared" si="19"/>
        <v>52.00000000000005</v>
      </c>
      <c r="E65" s="34">
        <f t="shared" si="20"/>
        <v>156.00000000000014</v>
      </c>
      <c r="F65" s="43">
        <f t="shared" si="29"/>
        <v>77210650188.148712</v>
      </c>
      <c r="G65" s="43">
        <f t="shared" si="21"/>
        <v>1746847289.32463</v>
      </c>
      <c r="H65" s="33">
        <f t="shared" si="30"/>
        <v>144.14889580215663</v>
      </c>
      <c r="I65" s="34">
        <f t="shared" si="22"/>
        <v>3</v>
      </c>
      <c r="J65" s="69">
        <f t="shared" si="31"/>
        <v>6.8506656075758759E-2</v>
      </c>
      <c r="K65" s="69">
        <f t="shared" si="32"/>
        <v>249549.61276066143</v>
      </c>
      <c r="L65" s="53">
        <f t="shared" si="23"/>
        <v>2.6451175210206896</v>
      </c>
    </row>
    <row r="66" spans="1:21" x14ac:dyDescent="0.2">
      <c r="A66" s="12">
        <f t="shared" si="33"/>
        <v>5472801.8356323242</v>
      </c>
      <c r="B66" s="33">
        <f t="shared" si="17"/>
        <v>89.307291469999711</v>
      </c>
      <c r="C66" s="52">
        <f t="shared" si="18"/>
        <v>45.050000000000047</v>
      </c>
      <c r="D66" s="34">
        <f t="shared" si="19"/>
        <v>53.000000000000057</v>
      </c>
      <c r="E66" s="34">
        <f t="shared" si="20"/>
        <v>159.00000000000017</v>
      </c>
      <c r="F66" s="43">
        <f t="shared" si="29"/>
        <v>77216122989.984344</v>
      </c>
      <c r="G66" s="43">
        <f t="shared" si="21"/>
        <v>1714009389.3448226</v>
      </c>
      <c r="H66" s="33">
        <f t="shared" si="30"/>
        <v>143.92877282497878</v>
      </c>
      <c r="I66" s="34">
        <f t="shared" si="22"/>
        <v>3</v>
      </c>
      <c r="J66" s="69">
        <f t="shared" si="31"/>
        <v>5.0270105014440659E-2</v>
      </c>
      <c r="K66" s="69">
        <f t="shared" si="32"/>
        <v>244858.48419211752</v>
      </c>
      <c r="L66" s="53">
        <f t="shared" si="23"/>
        <v>2.6116127860996392</v>
      </c>
    </row>
    <row r="67" spans="1:21" x14ac:dyDescent="0.2">
      <c r="A67" s="12">
        <f t="shared" si="33"/>
        <v>4732810.3977508545</v>
      </c>
      <c r="B67" s="33">
        <f t="shared" si="17"/>
        <v>90.99233470528273</v>
      </c>
      <c r="C67" s="52">
        <f t="shared" si="18"/>
        <v>45.900000000000048</v>
      </c>
      <c r="D67" s="34">
        <f t="shared" si="19"/>
        <v>54.000000000000057</v>
      </c>
      <c r="E67" s="34">
        <f t="shared" si="20"/>
        <v>162.00000000000017</v>
      </c>
      <c r="F67" s="43">
        <f t="shared" si="29"/>
        <v>77220855800.382095</v>
      </c>
      <c r="G67" s="43">
        <f t="shared" si="21"/>
        <v>1682371586.0649676</v>
      </c>
      <c r="H67" s="33">
        <f t="shared" si="30"/>
        <v>143.71266869481292</v>
      </c>
      <c r="I67" s="34">
        <f t="shared" si="22"/>
        <v>3</v>
      </c>
      <c r="J67" s="69">
        <f t="shared" si="31"/>
        <v>3.6900927936933801E-2</v>
      </c>
      <c r="K67" s="69">
        <f t="shared" si="32"/>
        <v>240338.79800928108</v>
      </c>
      <c r="L67" s="53">
        <f t="shared" si="23"/>
        <v>2.5793931341611067</v>
      </c>
    </row>
    <row r="68" spans="1:21" x14ac:dyDescent="0.2">
      <c r="A68" s="12">
        <f t="shared" si="33"/>
        <v>4092875.0818328857</v>
      </c>
      <c r="B68" s="33">
        <f t="shared" si="17"/>
        <v>92.677377940565748</v>
      </c>
      <c r="C68" s="52">
        <f t="shared" si="18"/>
        <v>46.75000000000005</v>
      </c>
      <c r="D68" s="34">
        <f t="shared" si="19"/>
        <v>55.000000000000057</v>
      </c>
      <c r="E68" s="34">
        <f t="shared" si="20"/>
        <v>165.00000000000017</v>
      </c>
      <c r="F68" s="43">
        <f t="shared" si="29"/>
        <v>77224948675.463928</v>
      </c>
      <c r="G68" s="43">
        <f t="shared" si="21"/>
        <v>1651870559.9029701</v>
      </c>
      <c r="H68" s="33">
        <f t="shared" si="30"/>
        <v>143.50044688588196</v>
      </c>
      <c r="I68" s="34">
        <f t="shared" si="22"/>
        <v>3</v>
      </c>
      <c r="J68" s="69">
        <f t="shared" si="31"/>
        <v>2.7096309381231864E-2</v>
      </c>
      <c r="K68" s="69">
        <f t="shared" si="32"/>
        <v>235981.50855756714</v>
      </c>
      <c r="L68" s="53">
        <f t="shared" si="23"/>
        <v>2.5483869966402066</v>
      </c>
    </row>
    <row r="69" spans="1:21" x14ac:dyDescent="0.2">
      <c r="A69" s="12">
        <f t="shared" si="33"/>
        <v>3539467.0455474854</v>
      </c>
      <c r="B69" s="33">
        <f t="shared" si="17"/>
        <v>94.362421175848766</v>
      </c>
      <c r="C69" s="52">
        <f t="shared" si="18"/>
        <v>47.600000000000058</v>
      </c>
      <c r="D69" s="34">
        <f t="shared" si="19"/>
        <v>56.000000000000071</v>
      </c>
      <c r="E69" s="34">
        <f t="shared" si="20"/>
        <v>168.00000000000023</v>
      </c>
      <c r="F69" s="43">
        <f t="shared" si="29"/>
        <v>77228488142.509476</v>
      </c>
      <c r="G69" s="43">
        <f t="shared" si="21"/>
        <v>1622447229.8846509</v>
      </c>
      <c r="H69" s="33">
        <f t="shared" si="30"/>
        <v>143.29197702874953</v>
      </c>
      <c r="I69" s="34">
        <f t="shared" si="22"/>
        <v>3</v>
      </c>
      <c r="J69" s="69">
        <f t="shared" si="31"/>
        <v>1.9903226082513593E-2</v>
      </c>
      <c r="K69" s="69">
        <f t="shared" si="32"/>
        <v>231778.17569780728</v>
      </c>
      <c r="L69" s="53">
        <f t="shared" si="23"/>
        <v>2.5185279822538496</v>
      </c>
    </row>
    <row r="70" spans="1:21" x14ac:dyDescent="0.2">
      <c r="A70" s="12">
        <f t="shared" si="33"/>
        <v>3060886.7155609131</v>
      </c>
      <c r="B70" s="33">
        <f t="shared" si="17"/>
        <v>96.047464411131784</v>
      </c>
      <c r="C70" s="52">
        <f t="shared" si="18"/>
        <v>48.45000000000006</v>
      </c>
      <c r="D70" s="34">
        <f t="shared" si="19"/>
        <v>57.000000000000071</v>
      </c>
      <c r="E70" s="34">
        <f t="shared" si="20"/>
        <v>171.00000000000023</v>
      </c>
      <c r="F70" s="43">
        <f t="shared" si="29"/>
        <v>77231549029.225037</v>
      </c>
      <c r="G70" s="43">
        <f t="shared" si="21"/>
        <v>1594046419.591846</v>
      </c>
      <c r="H70" s="33">
        <f t="shared" si="30"/>
        <v>143.0871346064159</v>
      </c>
      <c r="I70" s="34">
        <f t="shared" si="22"/>
        <v>3</v>
      </c>
      <c r="J70" s="69">
        <f t="shared" si="31"/>
        <v>1.4624217139922246E-2</v>
      </c>
      <c r="K70" s="69">
        <f t="shared" si="32"/>
        <v>227720.91708454944</v>
      </c>
      <c r="L70" s="53">
        <f t="shared" si="23"/>
        <v>2.4897544196891079</v>
      </c>
    </row>
    <row r="71" spans="1:21" x14ac:dyDescent="0.2">
      <c r="F71"/>
      <c r="I71" s="142" t="s">
        <v>45</v>
      </c>
      <c r="J71"/>
      <c r="L71" s="53"/>
    </row>
    <row r="72" spans="1:21" x14ac:dyDescent="0.2">
      <c r="A72" s="27" t="s">
        <v>74</v>
      </c>
      <c r="B72" s="28">
        <f>-LN(2)/$B$6</f>
        <v>-8.6212335890540462E-2</v>
      </c>
      <c r="L72" s="53"/>
    </row>
    <row r="73" spans="1:21" x14ac:dyDescent="0.2">
      <c r="A73" s="51" t="s">
        <v>75</v>
      </c>
      <c r="B73" s="53">
        <f>1/F4*F5</f>
        <v>1.6850432352830118</v>
      </c>
      <c r="C73" s="54" t="s">
        <v>76</v>
      </c>
      <c r="D73" s="54"/>
      <c r="E73" s="45">
        <f>F4*B73</f>
        <v>0.85000000000000009</v>
      </c>
      <c r="F73" s="45"/>
      <c r="G73" s="1"/>
      <c r="H73" s="43"/>
      <c r="J73"/>
      <c r="L73" s="53"/>
    </row>
    <row r="74" spans="1:21" x14ac:dyDescent="0.2">
      <c r="A74"/>
      <c r="B74"/>
      <c r="U74" s="78" t="s">
        <v>45</v>
      </c>
    </row>
    <row r="76" spans="1:21" x14ac:dyDescent="0.2">
      <c r="L76" s="33"/>
    </row>
  </sheetData>
  <phoneticPr fontId="11" type="noConversion"/>
  <printOptions horizontalCentered="1" verticalCentered="1" gridLines="1" gridLinesSet="0"/>
  <pageMargins left="0.78740157480314965" right="0.78740157480314965" top="1.3779527559055118" bottom="0.98425196850393704" header="0.51181102362204722" footer="0.51181102362204722"/>
  <pageSetup paperSize="9" scale="70" fitToWidth="2" fitToHeight="0" orientation="portrait" horizontalDpi="300" verticalDpi="300" r:id="rId1"/>
  <headerFooter alignWithMargins="0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zoomScale="75" workbookViewId="0">
      <selection activeCell="A46" sqref="A46"/>
    </sheetView>
  </sheetViews>
  <sheetFormatPr baseColWidth="10" defaultRowHeight="12.75" x14ac:dyDescent="0.2"/>
  <cols>
    <col min="1" max="1" width="11.85546875" customWidth="1"/>
    <col min="2" max="2" width="6.5703125" customWidth="1"/>
    <col min="3" max="3" width="6.7109375" customWidth="1"/>
    <col min="4" max="4" width="8.28515625" customWidth="1"/>
    <col min="5" max="5" width="9.28515625" style="65" customWidth="1"/>
    <col min="6" max="6" width="10.28515625" style="65" customWidth="1"/>
  </cols>
  <sheetData>
    <row r="1" spans="1:9" x14ac:dyDescent="0.2">
      <c r="A1" s="44"/>
      <c r="B1" s="44"/>
      <c r="C1" s="44"/>
      <c r="D1" s="44"/>
      <c r="E1" s="64"/>
      <c r="F1" s="64"/>
      <c r="G1" s="44"/>
      <c r="H1" s="44"/>
      <c r="I1" s="55"/>
    </row>
    <row r="2" spans="1:9" ht="19.5" x14ac:dyDescent="0.35">
      <c r="A2" s="86" t="s">
        <v>82</v>
      </c>
      <c r="B2" s="86"/>
      <c r="C2" s="86"/>
      <c r="D2" s="86"/>
      <c r="E2" s="87"/>
      <c r="F2" s="87"/>
      <c r="G2" s="88"/>
      <c r="H2" s="88"/>
      <c r="I2" s="55"/>
    </row>
    <row r="3" spans="1:9" ht="19.5" x14ac:dyDescent="0.35">
      <c r="A3" s="86" t="s">
        <v>83</v>
      </c>
      <c r="B3" s="86"/>
      <c r="C3" s="86"/>
      <c r="D3" s="86"/>
      <c r="E3" s="87"/>
      <c r="F3" s="87"/>
      <c r="G3" s="88"/>
      <c r="H3" s="88"/>
      <c r="I3" s="55"/>
    </row>
    <row r="4" spans="1:9" ht="19.5" x14ac:dyDescent="0.35">
      <c r="A4" s="86" t="s">
        <v>84</v>
      </c>
      <c r="B4" s="86"/>
      <c r="C4" s="86"/>
      <c r="D4" s="86"/>
      <c r="E4" s="87"/>
      <c r="F4" s="87"/>
      <c r="G4" s="88"/>
      <c r="H4" s="88"/>
      <c r="I4" s="55"/>
    </row>
    <row r="5" spans="1:9" ht="19.5" x14ac:dyDescent="0.35">
      <c r="A5" s="86"/>
      <c r="B5" s="86"/>
      <c r="C5" s="86"/>
      <c r="D5" s="86"/>
      <c r="E5" s="87"/>
      <c r="F5" s="87"/>
      <c r="G5" s="88"/>
      <c r="H5" s="88"/>
      <c r="I5" s="55"/>
    </row>
    <row r="6" spans="1:9" x14ac:dyDescent="0.2">
      <c r="A6" s="57" t="str">
        <f>Projekt!B1</f>
        <v>xXx</v>
      </c>
      <c r="B6" s="57"/>
      <c r="C6" s="57"/>
      <c r="D6" s="57"/>
      <c r="E6" s="59"/>
      <c r="F6" s="59"/>
      <c r="G6" s="44"/>
      <c r="H6" s="44"/>
      <c r="I6" s="55"/>
    </row>
    <row r="7" spans="1:9" x14ac:dyDescent="0.2">
      <c r="A7" s="57"/>
      <c r="B7" s="57"/>
      <c r="C7" s="57"/>
      <c r="D7" s="57"/>
      <c r="E7" s="59"/>
      <c r="F7" s="59"/>
    </row>
    <row r="8" spans="1:9" x14ac:dyDescent="0.2">
      <c r="A8" s="60" t="s">
        <v>85</v>
      </c>
      <c r="B8" s="60" t="s">
        <v>54</v>
      </c>
      <c r="C8" s="60"/>
      <c r="E8" s="61"/>
      <c r="F8" s="61"/>
    </row>
    <row r="9" spans="1:9" x14ac:dyDescent="0.2">
      <c r="A9" s="62" t="s">
        <v>86</v>
      </c>
      <c r="B9" s="56">
        <v>1</v>
      </c>
      <c r="C9" s="62" t="s">
        <v>59</v>
      </c>
      <c r="E9" s="63"/>
      <c r="F9" s="63"/>
      <c r="G9" s="64" t="s">
        <v>87</v>
      </c>
      <c r="H9" s="44"/>
    </row>
    <row r="10" spans="1:9" x14ac:dyDescent="0.2">
      <c r="E10"/>
      <c r="F10"/>
      <c r="G10" s="44" t="s">
        <v>79</v>
      </c>
      <c r="H10" s="64"/>
    </row>
    <row r="11" spans="1:9" x14ac:dyDescent="0.2">
      <c r="E11"/>
      <c r="F11"/>
      <c r="G11" s="66">
        <v>5</v>
      </c>
      <c r="H11" s="66">
        <v>10</v>
      </c>
    </row>
    <row r="12" spans="1:9" x14ac:dyDescent="0.2">
      <c r="E12"/>
      <c r="F12"/>
      <c r="G12" s="64" t="s">
        <v>88</v>
      </c>
      <c r="H12" s="64"/>
    </row>
    <row r="13" spans="1:9" x14ac:dyDescent="0.2">
      <c r="E13" s="44" t="s">
        <v>89</v>
      </c>
      <c r="F13" s="44"/>
      <c r="G13" s="89">
        <v>5.0000000000000001E-4</v>
      </c>
      <c r="H13" s="89">
        <v>5.0000000000000001E-4</v>
      </c>
    </row>
    <row r="14" spans="1:9" x14ac:dyDescent="0.2">
      <c r="A14" s="1" t="s">
        <v>90</v>
      </c>
      <c r="B14" s="1" t="s">
        <v>91</v>
      </c>
      <c r="C14" s="1" t="s">
        <v>92</v>
      </c>
      <c r="D14" s="1" t="s">
        <v>21</v>
      </c>
      <c r="E14" s="1" t="s">
        <v>93</v>
      </c>
      <c r="F14" s="1" t="s">
        <v>21</v>
      </c>
      <c r="G14" s="66" t="s">
        <v>94</v>
      </c>
      <c r="H14" s="66" t="s">
        <v>95</v>
      </c>
    </row>
    <row r="15" spans="1:9" ht="15.75" x14ac:dyDescent="0.2">
      <c r="A15" s="90"/>
      <c r="B15" s="91" t="s">
        <v>96</v>
      </c>
      <c r="C15" s="91" t="s">
        <v>78</v>
      </c>
      <c r="D15" s="91" t="s">
        <v>69</v>
      </c>
      <c r="E15" s="92"/>
      <c r="F15" s="91" t="s">
        <v>97</v>
      </c>
      <c r="G15" s="91" t="s">
        <v>8</v>
      </c>
      <c r="H15" s="91" t="s">
        <v>8</v>
      </c>
    </row>
    <row r="16" spans="1:9" x14ac:dyDescent="0.2">
      <c r="A16" s="1">
        <v>1</v>
      </c>
      <c r="B16" s="1">
        <v>21.42</v>
      </c>
      <c r="C16" s="1">
        <v>3</v>
      </c>
      <c r="D16" s="53">
        <f t="shared" ref="D16:D25" si="0">B16*C16</f>
        <v>64.260000000000005</v>
      </c>
      <c r="E16" s="34">
        <v>8</v>
      </c>
      <c r="F16" s="33">
        <f>D16*E16</f>
        <v>514.08000000000004</v>
      </c>
      <c r="G16" s="66">
        <v>400</v>
      </c>
      <c r="H16" s="66">
        <v>0</v>
      </c>
    </row>
    <row r="17" spans="1:9" x14ac:dyDescent="0.2">
      <c r="A17" s="1">
        <v>2</v>
      </c>
      <c r="B17" s="1">
        <v>21.42</v>
      </c>
      <c r="C17" s="1">
        <v>3</v>
      </c>
      <c r="D17" s="53">
        <f t="shared" si="0"/>
        <v>64.260000000000005</v>
      </c>
      <c r="E17" s="34">
        <v>8</v>
      </c>
      <c r="F17" s="33">
        <f t="shared" ref="F17:F25" si="1">D17*E17</f>
        <v>514.08000000000004</v>
      </c>
      <c r="G17" s="66">
        <v>400</v>
      </c>
      <c r="H17" s="66">
        <v>0</v>
      </c>
    </row>
    <row r="18" spans="1:9" x14ac:dyDescent="0.2">
      <c r="A18" s="1">
        <v>3</v>
      </c>
      <c r="B18" s="1">
        <v>21.42</v>
      </c>
      <c r="C18" s="1">
        <v>3</v>
      </c>
      <c r="D18" s="53">
        <f t="shared" si="0"/>
        <v>64.260000000000005</v>
      </c>
      <c r="E18" s="34">
        <v>8</v>
      </c>
      <c r="F18" s="33">
        <f t="shared" si="1"/>
        <v>514.08000000000004</v>
      </c>
      <c r="G18" s="66">
        <v>400</v>
      </c>
      <c r="H18" s="66">
        <v>0</v>
      </c>
    </row>
    <row r="19" spans="1:9" x14ac:dyDescent="0.2">
      <c r="A19" s="1">
        <v>4</v>
      </c>
      <c r="B19" s="1">
        <v>21.42</v>
      </c>
      <c r="C19" s="1">
        <v>3</v>
      </c>
      <c r="D19" s="53">
        <f t="shared" si="0"/>
        <v>64.260000000000005</v>
      </c>
      <c r="E19" s="34">
        <v>8</v>
      </c>
      <c r="F19" s="33">
        <f t="shared" si="1"/>
        <v>514.08000000000004</v>
      </c>
      <c r="G19" s="66">
        <v>400</v>
      </c>
      <c r="H19" s="66">
        <v>0</v>
      </c>
    </row>
    <row r="20" spans="1:9" x14ac:dyDescent="0.2">
      <c r="A20" s="1">
        <v>5</v>
      </c>
      <c r="B20" s="1">
        <v>21.42</v>
      </c>
      <c r="C20" s="1">
        <v>3</v>
      </c>
      <c r="D20" s="53">
        <f t="shared" si="0"/>
        <v>64.260000000000005</v>
      </c>
      <c r="E20" s="34">
        <v>8</v>
      </c>
      <c r="F20" s="33">
        <f t="shared" si="1"/>
        <v>514.08000000000004</v>
      </c>
      <c r="G20" s="66">
        <v>0</v>
      </c>
      <c r="H20" s="66">
        <v>200</v>
      </c>
    </row>
    <row r="21" spans="1:9" x14ac:dyDescent="0.2">
      <c r="A21" s="1">
        <v>6</v>
      </c>
      <c r="B21" s="1">
        <v>21.42</v>
      </c>
      <c r="C21" s="1">
        <v>3</v>
      </c>
      <c r="D21" s="53">
        <f t="shared" si="0"/>
        <v>64.260000000000005</v>
      </c>
      <c r="E21" s="34">
        <v>8</v>
      </c>
      <c r="F21" s="33">
        <f t="shared" si="1"/>
        <v>514.08000000000004</v>
      </c>
      <c r="G21" s="66">
        <v>0</v>
      </c>
      <c r="H21" s="66">
        <v>200</v>
      </c>
    </row>
    <row r="22" spans="1:9" x14ac:dyDescent="0.2">
      <c r="A22" s="1">
        <v>7</v>
      </c>
      <c r="B22" s="1">
        <v>21.42</v>
      </c>
      <c r="C22" s="1">
        <v>3</v>
      </c>
      <c r="D22" s="53">
        <f t="shared" si="0"/>
        <v>64.260000000000005</v>
      </c>
      <c r="E22" s="34">
        <v>8</v>
      </c>
      <c r="F22" s="33">
        <f t="shared" si="1"/>
        <v>514.08000000000004</v>
      </c>
      <c r="G22" s="66">
        <v>0</v>
      </c>
      <c r="H22" s="66">
        <v>200</v>
      </c>
    </row>
    <row r="23" spans="1:9" x14ac:dyDescent="0.2">
      <c r="A23" s="1">
        <v>8</v>
      </c>
      <c r="B23" s="1">
        <v>21.42</v>
      </c>
      <c r="C23" s="1">
        <v>3</v>
      </c>
      <c r="D23" s="53">
        <f t="shared" si="0"/>
        <v>64.260000000000005</v>
      </c>
      <c r="E23" s="34">
        <v>8</v>
      </c>
      <c r="F23" s="33">
        <f t="shared" si="1"/>
        <v>514.08000000000004</v>
      </c>
      <c r="G23" s="66">
        <v>0</v>
      </c>
      <c r="H23" s="66">
        <v>200</v>
      </c>
    </row>
    <row r="24" spans="1:9" x14ac:dyDescent="0.2">
      <c r="A24" s="1">
        <v>9</v>
      </c>
      <c r="B24" s="1">
        <v>21.42</v>
      </c>
      <c r="C24" s="1">
        <v>3</v>
      </c>
      <c r="D24" s="53">
        <f t="shared" si="0"/>
        <v>64.260000000000005</v>
      </c>
      <c r="E24" s="34">
        <v>8</v>
      </c>
      <c r="F24" s="33">
        <f t="shared" si="1"/>
        <v>514.08000000000004</v>
      </c>
      <c r="G24" s="66">
        <v>0</v>
      </c>
      <c r="H24" s="66">
        <v>200</v>
      </c>
    </row>
    <row r="25" spans="1:9" x14ac:dyDescent="0.2">
      <c r="A25" s="90">
        <v>10</v>
      </c>
      <c r="B25" s="1">
        <v>21.42</v>
      </c>
      <c r="C25" s="90">
        <v>3</v>
      </c>
      <c r="D25" s="93">
        <f t="shared" si="0"/>
        <v>64.260000000000005</v>
      </c>
      <c r="E25" s="158">
        <v>8</v>
      </c>
      <c r="F25" s="94">
        <f t="shared" si="1"/>
        <v>514.08000000000004</v>
      </c>
      <c r="G25" s="95">
        <v>0</v>
      </c>
      <c r="H25" s="66">
        <v>200</v>
      </c>
    </row>
    <row r="26" spans="1:9" x14ac:dyDescent="0.2">
      <c r="A26" s="98" t="s">
        <v>98</v>
      </c>
      <c r="B26" s="98">
        <f>SUM(B16:B25)</f>
        <v>214.20000000000005</v>
      </c>
      <c r="C26" s="98"/>
      <c r="D26" s="143">
        <f>SUM(D16:D25)</f>
        <v>642.6</v>
      </c>
      <c r="E26" s="143"/>
      <c r="F26" s="144">
        <f>SUM(F16:F25)</f>
        <v>5140.8</v>
      </c>
      <c r="G26" s="99">
        <f>SUM(G16:G25)</f>
        <v>1600</v>
      </c>
      <c r="H26" s="99">
        <f>SUM(H16:H25)</f>
        <v>1200</v>
      </c>
      <c r="I26" t="s">
        <v>8</v>
      </c>
    </row>
    <row r="27" spans="1:9" x14ac:dyDescent="0.2">
      <c r="A27" s="1"/>
      <c r="B27" s="1"/>
      <c r="C27" s="1"/>
      <c r="D27" s="1"/>
      <c r="E27" s="1"/>
      <c r="F27" s="1"/>
      <c r="G27" s="43">
        <f>G26*37000000</f>
        <v>59200000000</v>
      </c>
      <c r="H27" s="43">
        <f>H26*37000000</f>
        <v>44400000000</v>
      </c>
      <c r="I27" t="s">
        <v>9</v>
      </c>
    </row>
    <row r="28" spans="1:9" x14ac:dyDescent="0.2">
      <c r="A28" s="1"/>
      <c r="B28" s="1"/>
      <c r="C28" s="1"/>
      <c r="D28" s="1"/>
      <c r="E28" s="1"/>
      <c r="F28" s="1"/>
      <c r="G28" s="43"/>
      <c r="H28" s="43"/>
    </row>
    <row r="29" spans="1:9" x14ac:dyDescent="0.2">
      <c r="E29" t="s">
        <v>99</v>
      </c>
      <c r="F29"/>
      <c r="G29" s="43">
        <f>G27*G13</f>
        <v>29600000</v>
      </c>
      <c r="H29" s="43">
        <f>H27*H13</f>
        <v>22200000</v>
      </c>
      <c r="I29" t="s">
        <v>9</v>
      </c>
    </row>
    <row r="30" spans="1:9" x14ac:dyDescent="0.2">
      <c r="E30"/>
      <c r="F30"/>
      <c r="G30" s="96">
        <f>G29/(G11*24)</f>
        <v>246666.66666666666</v>
      </c>
      <c r="H30" s="96">
        <f>H29/(H11*24)</f>
        <v>92500</v>
      </c>
      <c r="I30" s="11" t="s">
        <v>100</v>
      </c>
    </row>
    <row r="31" spans="1:9" x14ac:dyDescent="0.2">
      <c r="E31"/>
      <c r="F31"/>
      <c r="G31" s="43"/>
      <c r="H31" s="43"/>
    </row>
    <row r="32" spans="1:9" x14ac:dyDescent="0.2">
      <c r="A32" s="44" t="s">
        <v>101</v>
      </c>
      <c r="B32" s="44"/>
      <c r="C32" s="44"/>
      <c r="D32" s="44"/>
      <c r="E32" s="64"/>
      <c r="F32" s="64"/>
    </row>
    <row r="33" spans="1:8" x14ac:dyDescent="0.2">
      <c r="A33" s="44"/>
      <c r="B33" s="44"/>
      <c r="C33" s="44"/>
      <c r="D33" s="44"/>
      <c r="E33" s="44" t="s">
        <v>89</v>
      </c>
      <c r="F33" s="44"/>
    </row>
    <row r="34" spans="1:8" x14ac:dyDescent="0.2">
      <c r="A34" s="44"/>
      <c r="B34" s="1" t="s">
        <v>91</v>
      </c>
      <c r="C34" s="1" t="s">
        <v>92</v>
      </c>
      <c r="D34" s="1" t="s">
        <v>21</v>
      </c>
      <c r="E34" s="1" t="s">
        <v>93</v>
      </c>
      <c r="F34" s="1" t="s">
        <v>21</v>
      </c>
      <c r="G34" s="64"/>
      <c r="H34" s="64"/>
    </row>
    <row r="35" spans="1:8" ht="15.75" x14ac:dyDescent="0.2">
      <c r="A35" s="97"/>
      <c r="B35" s="91" t="s">
        <v>96</v>
      </c>
      <c r="C35" s="91" t="s">
        <v>78</v>
      </c>
      <c r="D35" s="91" t="s">
        <v>69</v>
      </c>
      <c r="E35" s="92"/>
      <c r="F35" s="91" t="s">
        <v>97</v>
      </c>
      <c r="G35" s="64"/>
      <c r="H35" s="64"/>
    </row>
    <row r="36" spans="1:8" x14ac:dyDescent="0.2">
      <c r="A36" s="1" t="s">
        <v>12</v>
      </c>
      <c r="B36" s="1">
        <v>302.17</v>
      </c>
      <c r="C36" s="33">
        <v>3</v>
      </c>
      <c r="D36" s="1">
        <f>B36*C36</f>
        <v>906.51</v>
      </c>
      <c r="E36" s="1">
        <v>8</v>
      </c>
      <c r="F36" s="66">
        <f>D36*E36</f>
        <v>7252.08</v>
      </c>
      <c r="G36" s="67"/>
      <c r="H36" s="66" t="s">
        <v>77</v>
      </c>
    </row>
    <row r="37" spans="1:8" x14ac:dyDescent="0.2">
      <c r="A37" s="1" t="s">
        <v>102</v>
      </c>
      <c r="B37" s="1">
        <v>279.13</v>
      </c>
      <c r="C37" s="33">
        <v>4</v>
      </c>
      <c r="D37" s="1">
        <f>B37*C37</f>
        <v>1116.52</v>
      </c>
      <c r="E37" s="1">
        <v>8</v>
      </c>
      <c r="F37" s="66">
        <f>D37*E37</f>
        <v>8932.16</v>
      </c>
      <c r="G37" s="67"/>
      <c r="H37" s="66" t="s">
        <v>77</v>
      </c>
    </row>
    <row r="38" spans="1:8" x14ac:dyDescent="0.2">
      <c r="A38" s="98" t="s">
        <v>98</v>
      </c>
      <c r="B38" s="99">
        <f>B26+SUM(B36:B37)</f>
        <v>795.5</v>
      </c>
      <c r="C38" s="99"/>
      <c r="D38" s="99">
        <f>D26+SUM(D36:D37)</f>
        <v>2665.63</v>
      </c>
      <c r="E38" s="99"/>
      <c r="F38" s="100">
        <f>F26+SUM(F36:F37)</f>
        <v>21325.040000000001</v>
      </c>
      <c r="G38" s="67"/>
      <c r="H38" s="66"/>
    </row>
    <row r="39" spans="1:8" x14ac:dyDescent="0.2">
      <c r="A39" s="90" t="s">
        <v>80</v>
      </c>
      <c r="B39" s="90"/>
      <c r="C39" s="90"/>
      <c r="D39" s="90">
        <v>220</v>
      </c>
      <c r="E39" s="90">
        <f>E37</f>
        <v>8</v>
      </c>
      <c r="F39" s="95">
        <f>-D39*E39</f>
        <v>-1760</v>
      </c>
      <c r="G39" s="67"/>
    </row>
    <row r="40" spans="1:8" x14ac:dyDescent="0.2">
      <c r="B40" s="81" t="s">
        <v>103</v>
      </c>
      <c r="C40" s="1"/>
      <c r="D40" s="1"/>
      <c r="E40"/>
      <c r="F40" s="101">
        <f>F38+F39</f>
        <v>19565.04</v>
      </c>
      <c r="G40" s="68" t="s">
        <v>97</v>
      </c>
    </row>
    <row r="41" spans="1:8" x14ac:dyDescent="0.2">
      <c r="B41" s="81"/>
      <c r="C41" s="1"/>
      <c r="D41" s="1"/>
      <c r="E41"/>
      <c r="F41" s="101"/>
      <c r="G41" s="68"/>
    </row>
    <row r="42" spans="1:8" x14ac:dyDescent="0.2">
      <c r="B42" t="s">
        <v>104</v>
      </c>
      <c r="E42"/>
      <c r="F42" s="102">
        <f>(G30+H30)/F40</f>
        <v>17.335342358955902</v>
      </c>
      <c r="G42" s="11" t="s">
        <v>59</v>
      </c>
    </row>
    <row r="43" spans="1:8" x14ac:dyDescent="0.2">
      <c r="E43"/>
    </row>
    <row r="44" spans="1:8" x14ac:dyDescent="0.2">
      <c r="A44" t="s">
        <v>165</v>
      </c>
      <c r="E44"/>
    </row>
    <row r="45" spans="1:8" x14ac:dyDescent="0.2">
      <c r="A45" t="s">
        <v>166</v>
      </c>
    </row>
  </sheetData>
  <phoneticPr fontId="11" type="noConversion"/>
  <printOptions gridLinesSet="0"/>
  <pageMargins left="0.78740157480314965" right="0.78740157480314965" top="0.98425196850393704" bottom="0.98425196850393704" header="0.51181102300000003" footer="0.51181102300000003"/>
  <pageSetup paperSize="9" scale="88" orientation="portrait" horizontalDpi="300" verticalDpi="300" r:id="rId1"/>
  <headerFooter alignWithMargins="0">
    <oddHeader>&amp;F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8" workbookViewId="0">
      <selection activeCell="D15" sqref="D15"/>
    </sheetView>
  </sheetViews>
  <sheetFormatPr baseColWidth="10" defaultRowHeight="12.75" x14ac:dyDescent="0.2"/>
  <cols>
    <col min="5" max="6" width="11.42578125" style="172"/>
  </cols>
  <sheetData>
    <row r="1" spans="1:8" ht="15.75" x14ac:dyDescent="0.25">
      <c r="A1" s="183" t="s">
        <v>148</v>
      </c>
      <c r="B1" s="183"/>
      <c r="C1" s="183"/>
      <c r="D1" s="183"/>
      <c r="E1" s="183"/>
      <c r="F1" s="183"/>
      <c r="G1" s="183"/>
      <c r="H1" s="183"/>
    </row>
    <row r="2" spans="1:8" ht="15.75" x14ac:dyDescent="0.25">
      <c r="A2" s="183" t="s">
        <v>149</v>
      </c>
      <c r="B2" s="183"/>
      <c r="C2" s="183"/>
      <c r="D2" s="183"/>
      <c r="E2" s="183"/>
      <c r="F2" s="183"/>
      <c r="G2" s="183"/>
      <c r="H2" s="183"/>
    </row>
    <row r="3" spans="1:8" ht="15.75" x14ac:dyDescent="0.25">
      <c r="A3" s="183" t="s">
        <v>150</v>
      </c>
      <c r="B3" s="183"/>
      <c r="C3" s="183"/>
      <c r="D3" s="183"/>
      <c r="E3" s="183"/>
      <c r="F3" s="183"/>
      <c r="G3" s="183"/>
      <c r="H3" s="183"/>
    </row>
    <row r="6" spans="1:8" x14ac:dyDescent="0.2">
      <c r="A6" s="184" t="s">
        <v>151</v>
      </c>
      <c r="B6" s="184"/>
      <c r="C6" s="184"/>
      <c r="D6" s="184"/>
      <c r="E6" s="184"/>
      <c r="F6" s="184"/>
      <c r="G6" s="184"/>
      <c r="H6" s="184"/>
    </row>
    <row r="7" spans="1:8" x14ac:dyDescent="0.2">
      <c r="A7" s="184" t="s">
        <v>152</v>
      </c>
      <c r="B7" s="184"/>
      <c r="C7" s="184"/>
      <c r="D7" s="184"/>
      <c r="E7" s="184"/>
      <c r="F7" s="184"/>
      <c r="G7" s="184"/>
      <c r="H7" s="184"/>
    </row>
    <row r="8" spans="1:8" x14ac:dyDescent="0.2">
      <c r="A8" s="184" t="s">
        <v>153</v>
      </c>
      <c r="B8" s="184"/>
      <c r="C8" s="184"/>
      <c r="D8" s="184"/>
      <c r="E8" s="184"/>
      <c r="F8" s="184"/>
      <c r="G8" s="184"/>
      <c r="H8" s="184"/>
    </row>
    <row r="9" spans="1:8" x14ac:dyDescent="0.2">
      <c r="A9" s="184" t="s">
        <v>154</v>
      </c>
      <c r="B9" s="184"/>
      <c r="C9" s="184"/>
      <c r="D9" s="184"/>
      <c r="E9" s="184"/>
      <c r="F9" s="184"/>
      <c r="G9" s="184"/>
      <c r="H9" s="184"/>
    </row>
    <row r="10" spans="1:8" x14ac:dyDescent="0.2">
      <c r="A10" s="185">
        <v>30742</v>
      </c>
      <c r="B10" s="185"/>
      <c r="C10" s="185"/>
      <c r="D10" s="185"/>
      <c r="E10" s="185"/>
      <c r="F10" s="185"/>
      <c r="G10" s="185"/>
      <c r="H10" s="185"/>
    </row>
    <row r="12" spans="1:8" x14ac:dyDescent="0.2">
      <c r="A12" s="173" t="s">
        <v>155</v>
      </c>
      <c r="B12" s="173" t="s">
        <v>157</v>
      </c>
      <c r="C12" s="182" t="s">
        <v>163</v>
      </c>
      <c r="D12" s="182"/>
      <c r="E12" s="175" t="s">
        <v>164</v>
      </c>
      <c r="F12" s="175"/>
      <c r="G12" s="173" t="s">
        <v>160</v>
      </c>
    </row>
    <row r="13" spans="1:8" x14ac:dyDescent="0.2">
      <c r="A13" s="174" t="s">
        <v>156</v>
      </c>
      <c r="B13" s="174" t="s">
        <v>158</v>
      </c>
      <c r="C13" s="174" t="s">
        <v>159</v>
      </c>
      <c r="D13" s="174" t="s">
        <v>54</v>
      </c>
      <c r="E13" s="176" t="s">
        <v>159</v>
      </c>
      <c r="F13" s="176" t="s">
        <v>54</v>
      </c>
      <c r="G13" s="174"/>
    </row>
    <row r="14" spans="1:8" x14ac:dyDescent="0.2">
      <c r="A14" s="1"/>
      <c r="B14" s="1"/>
      <c r="C14" s="1"/>
      <c r="D14" s="1"/>
      <c r="E14" s="53"/>
      <c r="F14" s="53"/>
      <c r="G14" s="1"/>
    </row>
    <row r="15" spans="1:8" x14ac:dyDescent="0.2">
      <c r="A15" s="1">
        <v>0</v>
      </c>
      <c r="B15" s="1">
        <v>4.9000000000000004</v>
      </c>
      <c r="C15" s="1">
        <v>12.8</v>
      </c>
      <c r="D15" s="1">
        <v>122</v>
      </c>
      <c r="E15" s="53">
        <f>C15/24</f>
        <v>0.53333333333333333</v>
      </c>
      <c r="F15" s="53">
        <f>D15/24</f>
        <v>5.083333333333333</v>
      </c>
      <c r="G15" s="1">
        <v>0.7</v>
      </c>
      <c r="H15" s="171" t="s">
        <v>162</v>
      </c>
    </row>
    <row r="16" spans="1:8" x14ac:dyDescent="0.2">
      <c r="A16" s="1">
        <v>0</v>
      </c>
      <c r="B16" s="1">
        <v>3.2</v>
      </c>
      <c r="C16" s="1">
        <v>12.8</v>
      </c>
      <c r="D16" s="1">
        <v>122</v>
      </c>
      <c r="E16" s="53">
        <f t="shared" ref="E16:E23" si="0">C16/24</f>
        <v>0.53333333333333333</v>
      </c>
      <c r="F16" s="53">
        <f t="shared" ref="F16:F23" si="1">D16/24</f>
        <v>5.083333333333333</v>
      </c>
      <c r="G16" s="1">
        <v>0.53</v>
      </c>
    </row>
    <row r="17" spans="1:7" x14ac:dyDescent="0.2">
      <c r="A17" s="1">
        <v>0.5</v>
      </c>
      <c r="B17" s="1">
        <v>3.2</v>
      </c>
      <c r="C17" s="1">
        <v>13</v>
      </c>
      <c r="D17" s="1">
        <v>144</v>
      </c>
      <c r="E17" s="53">
        <f t="shared" si="0"/>
        <v>0.54166666666666663</v>
      </c>
      <c r="F17" s="53">
        <f t="shared" si="1"/>
        <v>6</v>
      </c>
      <c r="G17" s="1">
        <v>0.53</v>
      </c>
    </row>
    <row r="18" spans="1:7" x14ac:dyDescent="0.2">
      <c r="A18" s="1">
        <v>1</v>
      </c>
      <c r="B18" s="1">
        <v>3.6</v>
      </c>
      <c r="C18" s="1">
        <v>13</v>
      </c>
      <c r="D18" s="1">
        <v>146</v>
      </c>
      <c r="E18" s="53">
        <f t="shared" si="0"/>
        <v>0.54166666666666663</v>
      </c>
      <c r="F18" s="53">
        <f t="shared" si="1"/>
        <v>6.083333333333333</v>
      </c>
      <c r="G18" s="1">
        <v>0.53</v>
      </c>
    </row>
    <row r="19" spans="1:7" x14ac:dyDescent="0.2">
      <c r="A19" s="1">
        <v>3</v>
      </c>
      <c r="B19" s="1">
        <v>5.2</v>
      </c>
      <c r="C19" s="1">
        <v>13.1</v>
      </c>
      <c r="D19" s="1">
        <v>151</v>
      </c>
      <c r="E19" s="53">
        <f t="shared" si="0"/>
        <v>0.54583333333333328</v>
      </c>
      <c r="F19" s="53">
        <f t="shared" si="1"/>
        <v>6.291666666666667</v>
      </c>
      <c r="G19" s="1">
        <v>0.53</v>
      </c>
    </row>
    <row r="20" spans="1:7" x14ac:dyDescent="0.2">
      <c r="A20" s="1">
        <v>5</v>
      </c>
      <c r="B20" s="1">
        <v>6.7</v>
      </c>
      <c r="C20" s="1">
        <v>13.1</v>
      </c>
      <c r="D20" s="1">
        <v>151</v>
      </c>
      <c r="E20" s="53">
        <f t="shared" si="0"/>
        <v>0.54583333333333328</v>
      </c>
      <c r="F20" s="53">
        <f t="shared" si="1"/>
        <v>6.291666666666667</v>
      </c>
      <c r="G20" s="1">
        <v>0.53</v>
      </c>
    </row>
    <row r="21" spans="1:7" x14ac:dyDescent="0.2">
      <c r="A21" s="1">
        <v>10</v>
      </c>
      <c r="B21" s="1">
        <v>13</v>
      </c>
      <c r="C21" s="1">
        <v>13.1</v>
      </c>
      <c r="D21" s="1">
        <v>163</v>
      </c>
      <c r="E21" s="53">
        <f t="shared" si="0"/>
        <v>0.54583333333333328</v>
      </c>
      <c r="F21" s="53">
        <f t="shared" si="1"/>
        <v>6.791666666666667</v>
      </c>
      <c r="G21" s="1">
        <v>0.53</v>
      </c>
    </row>
    <row r="22" spans="1:7" x14ac:dyDescent="0.2">
      <c r="A22" s="1">
        <v>15</v>
      </c>
      <c r="B22" s="1">
        <v>20</v>
      </c>
      <c r="C22" s="1">
        <v>13.2</v>
      </c>
      <c r="D22" s="1">
        <v>166</v>
      </c>
      <c r="E22" s="53">
        <f t="shared" si="0"/>
        <v>0.54999999999999993</v>
      </c>
      <c r="F22" s="53">
        <f t="shared" si="1"/>
        <v>6.916666666666667</v>
      </c>
      <c r="G22" s="1">
        <v>0.53</v>
      </c>
    </row>
    <row r="23" spans="1:7" x14ac:dyDescent="0.2">
      <c r="A23" s="1" t="s">
        <v>161</v>
      </c>
      <c r="B23" s="1">
        <v>44</v>
      </c>
      <c r="C23" s="1">
        <v>13.2</v>
      </c>
      <c r="D23" s="1">
        <v>182</v>
      </c>
      <c r="E23" s="53">
        <f t="shared" si="0"/>
        <v>0.54999999999999993</v>
      </c>
      <c r="F23" s="53">
        <f t="shared" si="1"/>
        <v>7.583333333333333</v>
      </c>
      <c r="G23" s="1">
        <v>0.53</v>
      </c>
    </row>
  </sheetData>
  <mergeCells count="9">
    <mergeCell ref="C12:D12"/>
    <mergeCell ref="A1:H1"/>
    <mergeCell ref="A2:H2"/>
    <mergeCell ref="A3:H3"/>
    <mergeCell ref="A6:H6"/>
    <mergeCell ref="A7:H7"/>
    <mergeCell ref="A8:H8"/>
    <mergeCell ref="A9:H9"/>
    <mergeCell ref="A10:H10"/>
  </mergeCells>
  <phoneticPr fontId="1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8</vt:i4>
      </vt:variant>
    </vt:vector>
  </HeadingPairs>
  <TitlesOfParts>
    <vt:vector size="15" baseType="lpstr">
      <vt:lpstr>Projekt</vt:lpstr>
      <vt:lpstr>AKTIV.XLS</vt:lpstr>
      <vt:lpstr>ABWASSER</vt:lpstr>
      <vt:lpstr>Tabelle1</vt:lpstr>
      <vt:lpstr>ABKDIM.XLS</vt:lpstr>
      <vt:lpstr>ABLUFT</vt:lpstr>
      <vt:lpstr>Tabelle2</vt:lpstr>
      <vt:lpstr>Agrenz</vt:lpstr>
      <vt:lpstr>AnzPatienten_Diagnostik</vt:lpstr>
      <vt:lpstr>AnzPatienten_Therapie</vt:lpstr>
      <vt:lpstr>Ao</vt:lpstr>
      <vt:lpstr>dt</vt:lpstr>
      <vt:lpstr>dV</vt:lpstr>
      <vt:lpstr>Fgrad</vt:lpstr>
      <vt:lpstr>Lambda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Arbeitsmappe Abklinganlagen</dc:title>
  <dc:subject>Abklinganlagen</dc:subject>
  <dc:creator>Dipl.Ing. H.Sumpf</dc:creator>
  <cp:lastModifiedBy>damp</cp:lastModifiedBy>
  <cp:lastPrinted>1998-08-31T08:23:53Z</cp:lastPrinted>
  <dcterms:created xsi:type="dcterms:W3CDTF">1997-05-15T21:01:14Z</dcterms:created>
  <dcterms:modified xsi:type="dcterms:W3CDTF">2023-02-14T01:27:52Z</dcterms:modified>
</cp:coreProperties>
</file>