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mp\Desktop\Homepage\"/>
    </mc:Choice>
  </mc:AlternateContent>
  <xr:revisionPtr revIDLastSave="0" documentId="8_{A960A64C-36A8-4568-A4CE-5D78C4AD2391}" xr6:coauthVersionLast="47" xr6:coauthVersionMax="47" xr10:uidLastSave="{00000000-0000-0000-0000-000000000000}"/>
  <bookViews>
    <workbookView xWindow="5850" yWindow="2505" windowWidth="29625" windowHeight="18495" xr2:uid="{56551609-0DDC-4E29-9C86-A7A46D4A72BF}"/>
  </bookViews>
  <sheets>
    <sheet name="Basis" sheetId="2" r:id="rId1"/>
    <sheet name="Abschirmungen" sheetId="20964" r:id="rId2"/>
  </sheets>
  <definedNames>
    <definedName name="Abstand">Basis!$C$19:$C$29</definedName>
    <definedName name="AKTn">Basis!$B$4</definedName>
    <definedName name="DLo">Basis!$E$19:$E$29</definedName>
    <definedName name="FNs">Basis!$N$19:$N$29</definedName>
    <definedName name="FNw">Basis!$L$19:$L$29</definedName>
    <definedName name="Hj">Basis!$G$19:$G$29</definedName>
    <definedName name="Hs">Basis!$J$19:$J$29</definedName>
    <definedName name="Hw">Basis!$H$19:$H$29</definedName>
    <definedName name="HWZ">Basis!$B$8</definedName>
    <definedName name="KennDL">Basis!$F$10</definedName>
    <definedName name="lambda">Basis!$B$9</definedName>
    <definedName name="Qwechsel">Basis!$B$6</definedName>
    <definedName name="Streuung">Basis!$D$19:$D$29</definedName>
    <definedName name="T">Basis!$F$19:$F$29</definedName>
    <definedName name="WA">Basis!$F$11</definedName>
    <definedName name="Zeit">Basis!$F$12</definedName>
  </definedNames>
  <calcPr calcId="181029"/>
</workbook>
</file>

<file path=xl/calcChain.xml><?xml version="1.0" encoding="utf-8"?>
<calcChain xmlns="http://schemas.openxmlformats.org/spreadsheetml/2006/main">
  <c r="E7" i="20964" l="1"/>
  <c r="E25" i="20964" s="1"/>
  <c r="A9" i="20964"/>
  <c r="B9" i="20964"/>
  <c r="C9" i="20964"/>
  <c r="A10" i="20964"/>
  <c r="B10" i="20964"/>
  <c r="C10" i="20964"/>
  <c r="A11" i="20964"/>
  <c r="B11" i="20964"/>
  <c r="C11" i="20964"/>
  <c r="A12" i="20964"/>
  <c r="B12" i="20964"/>
  <c r="C12" i="20964"/>
  <c r="A13" i="20964"/>
  <c r="B13" i="20964"/>
  <c r="A14" i="20964"/>
  <c r="B14" i="20964"/>
  <c r="C14" i="20964"/>
  <c r="C13" i="20964"/>
  <c r="A15" i="20964"/>
  <c r="B15" i="20964"/>
  <c r="C15" i="20964"/>
  <c r="A16" i="20964"/>
  <c r="B16" i="20964"/>
  <c r="C16" i="20964"/>
  <c r="A17" i="20964"/>
  <c r="B17" i="20964"/>
  <c r="C17" i="20964"/>
  <c r="A18" i="20964"/>
  <c r="B18" i="20964"/>
  <c r="C18" i="20964"/>
  <c r="A19" i="20964"/>
  <c r="B19" i="20964"/>
  <c r="C19" i="20964"/>
  <c r="E19" i="20964"/>
  <c r="N24" i="20964"/>
  <c r="A27" i="20964"/>
  <c r="B27" i="20964"/>
  <c r="P27" i="20964"/>
  <c r="Q27" i="20964"/>
  <c r="C27" i="20964" s="1"/>
  <c r="A28" i="20964"/>
  <c r="B28" i="20964"/>
  <c r="C28" i="20964"/>
  <c r="P28" i="20964"/>
  <c r="Q28" i="20964"/>
  <c r="A29" i="20964"/>
  <c r="B29" i="20964"/>
  <c r="P29" i="20964"/>
  <c r="Q29" i="20964"/>
  <c r="C29" i="20964"/>
  <c r="Q21" i="2" s="1"/>
  <c r="A30" i="20964"/>
  <c r="B30" i="20964"/>
  <c r="P30" i="20964"/>
  <c r="Q30" i="20964"/>
  <c r="C30" i="20964"/>
  <c r="Q22" i="2"/>
  <c r="A31" i="20964"/>
  <c r="B31" i="20964"/>
  <c r="P31" i="20964"/>
  <c r="Q31" i="20964"/>
  <c r="A32" i="20964"/>
  <c r="B32" i="20964"/>
  <c r="P32" i="20964"/>
  <c r="Q32" i="20964"/>
  <c r="C32" i="20964" s="1"/>
  <c r="Q24" i="2" s="1"/>
  <c r="A33" i="20964"/>
  <c r="B33" i="20964"/>
  <c r="C33" i="20964"/>
  <c r="D33" i="20964" s="1"/>
  <c r="R25" i="2" s="1"/>
  <c r="S25" i="2" s="1"/>
  <c r="P33" i="20964"/>
  <c r="Q33" i="20964"/>
  <c r="A34" i="20964"/>
  <c r="B34" i="20964"/>
  <c r="G34" i="20964"/>
  <c r="C34" i="20964" s="1"/>
  <c r="N34" i="20964"/>
  <c r="O34" i="20964"/>
  <c r="P34" i="20964"/>
  <c r="Q34" i="20964"/>
  <c r="A35" i="20964"/>
  <c r="B35" i="20964"/>
  <c r="G35" i="20964"/>
  <c r="N35" i="20964"/>
  <c r="O35" i="20964"/>
  <c r="C35" i="20964" s="1"/>
  <c r="Q27" i="2" s="1"/>
  <c r="P35" i="20964"/>
  <c r="Q35" i="20964"/>
  <c r="A36" i="20964"/>
  <c r="B36" i="20964"/>
  <c r="P36" i="20964"/>
  <c r="Q36" i="20964"/>
  <c r="C36" i="20964"/>
  <c r="Q28" i="2"/>
  <c r="A37" i="20964"/>
  <c r="B37" i="20964"/>
  <c r="P37" i="20964"/>
  <c r="Q37" i="20964"/>
  <c r="C37" i="20964" s="1"/>
  <c r="F3" i="2"/>
  <c r="B5" i="2"/>
  <c r="B9" i="2"/>
  <c r="C4" i="2"/>
  <c r="C10" i="2" s="1"/>
  <c r="C12" i="2" s="1"/>
  <c r="C13" i="2" s="1"/>
  <c r="B10" i="2"/>
  <c r="F10" i="2"/>
  <c r="E26" i="2"/>
  <c r="N26" i="2" s="1"/>
  <c r="O26" i="2" s="1"/>
  <c r="B12" i="2"/>
  <c r="B13" i="2" s="1"/>
  <c r="R16" i="2"/>
  <c r="D8" i="20964" s="1"/>
  <c r="E19" i="2"/>
  <c r="M19" i="2" s="1"/>
  <c r="H19" i="2"/>
  <c r="I19" i="2"/>
  <c r="J19" i="2"/>
  <c r="K19" i="2" s="1"/>
  <c r="H20" i="2"/>
  <c r="I20" i="2"/>
  <c r="L20" i="2" s="1"/>
  <c r="J20" i="2"/>
  <c r="K20" i="2" s="1"/>
  <c r="N20" i="2" s="1"/>
  <c r="O20" i="2" s="1"/>
  <c r="Q20" i="2"/>
  <c r="E21" i="2"/>
  <c r="N21" i="2" s="1"/>
  <c r="O21" i="2" s="1"/>
  <c r="H21" i="2"/>
  <c r="I21" i="2" s="1"/>
  <c r="J21" i="2"/>
  <c r="K21" i="2"/>
  <c r="H22" i="2"/>
  <c r="I22" i="2" s="1"/>
  <c r="J22" i="2"/>
  <c r="K22" i="2"/>
  <c r="G23" i="2"/>
  <c r="H23" i="2" s="1"/>
  <c r="I23" i="2" s="1"/>
  <c r="C24" i="2"/>
  <c r="E24" i="2" s="1"/>
  <c r="H24" i="2"/>
  <c r="I24" i="2" s="1"/>
  <c r="J24" i="2"/>
  <c r="J23" i="2"/>
  <c r="K24" i="2"/>
  <c r="E25" i="2"/>
  <c r="H25" i="2"/>
  <c r="I25" i="2"/>
  <c r="L25" i="2" s="1"/>
  <c r="J25" i="2"/>
  <c r="K25" i="2" s="1"/>
  <c r="N25" i="2" s="1"/>
  <c r="O25" i="2" s="1"/>
  <c r="H26" i="2"/>
  <c r="I26" i="2" s="1"/>
  <c r="L26" i="2" s="1"/>
  <c r="J26" i="2"/>
  <c r="K26" i="2"/>
  <c r="E27" i="2"/>
  <c r="N27" i="2" s="1"/>
  <c r="H27" i="2"/>
  <c r="I27" i="2" s="1"/>
  <c r="J27" i="2"/>
  <c r="K27" i="2"/>
  <c r="H28" i="2"/>
  <c r="I28" i="2"/>
  <c r="J28" i="2"/>
  <c r="K28" i="2" s="1"/>
  <c r="N28" i="2" s="1"/>
  <c r="E29" i="2"/>
  <c r="D37" i="20964"/>
  <c r="R29" i="2" s="1"/>
  <c r="H29" i="2"/>
  <c r="I29" i="2"/>
  <c r="J29" i="2"/>
  <c r="K29" i="2"/>
  <c r="L29" i="2"/>
  <c r="E37" i="20964" s="1"/>
  <c r="M29" i="2"/>
  <c r="N29" i="2"/>
  <c r="O29" i="2"/>
  <c r="Q29" i="2"/>
  <c r="S29" i="2"/>
  <c r="C5" i="2"/>
  <c r="D16" i="20964"/>
  <c r="D15" i="20964"/>
  <c r="D11" i="20964"/>
  <c r="D19" i="20964"/>
  <c r="L19" i="2"/>
  <c r="E9" i="20964" s="1"/>
  <c r="E28" i="2"/>
  <c r="F12" i="2"/>
  <c r="D4" i="2"/>
  <c r="D5" i="2" s="1"/>
  <c r="E22" i="2"/>
  <c r="E20" i="2"/>
  <c r="D18" i="20964"/>
  <c r="D28" i="20964"/>
  <c r="R20" i="2"/>
  <c r="S20" i="2"/>
  <c r="D10" i="20964"/>
  <c r="N22" i="2"/>
  <c r="O22" i="2" s="1"/>
  <c r="D30" i="20964"/>
  <c r="R22" i="2" s="1"/>
  <c r="S22" i="2" s="1"/>
  <c r="D12" i="20964"/>
  <c r="E16" i="20964" l="1"/>
  <c r="E34" i="20964"/>
  <c r="M26" i="2"/>
  <c r="D34" i="20964"/>
  <c r="R26" i="2" s="1"/>
  <c r="S26" i="2" s="1"/>
  <c r="Q26" i="2"/>
  <c r="Q19" i="2"/>
  <c r="D27" i="20964"/>
  <c r="R19" i="2" s="1"/>
  <c r="S19" i="2" s="1"/>
  <c r="M22" i="2"/>
  <c r="D14" i="20964"/>
  <c r="D13" i="20964" s="1"/>
  <c r="L24" i="2"/>
  <c r="D32" i="20964"/>
  <c r="E23" i="2"/>
  <c r="N24" i="2"/>
  <c r="O24" i="2" s="1"/>
  <c r="O23" i="2" s="1"/>
  <c r="O28" i="2"/>
  <c r="M20" i="2"/>
  <c r="E10" i="20964"/>
  <c r="E28" i="20964"/>
  <c r="K23" i="2"/>
  <c r="E15" i="20964"/>
  <c r="E33" i="20964"/>
  <c r="M25" i="2"/>
  <c r="E27" i="20964"/>
  <c r="Q25" i="2"/>
  <c r="D35" i="20964"/>
  <c r="R27" i="2" s="1"/>
  <c r="S27" i="2" s="1"/>
  <c r="D10" i="2"/>
  <c r="D12" i="2" s="1"/>
  <c r="D13" i="2" s="1"/>
  <c r="D26" i="20964"/>
  <c r="D17" i="20964"/>
  <c r="D36" i="20964"/>
  <c r="R28" i="2" s="1"/>
  <c r="S28" i="2" s="1"/>
  <c r="D29" i="20964"/>
  <c r="R21" i="2" s="1"/>
  <c r="S21" i="2" s="1"/>
  <c r="D9" i="20964"/>
  <c r="N19" i="2"/>
  <c r="O19" i="2" s="1"/>
  <c r="L22" i="2"/>
  <c r="L28" i="2"/>
  <c r="L27" i="2"/>
  <c r="L21" i="2"/>
  <c r="O27" i="2"/>
  <c r="D31" i="20964" l="1"/>
  <c r="R24" i="2"/>
  <c r="M27" i="2"/>
  <c r="E35" i="20964"/>
  <c r="E17" i="20964"/>
  <c r="E14" i="20964"/>
  <c r="E32" i="20964"/>
  <c r="E18" i="20964"/>
  <c r="E36" i="20964"/>
  <c r="M28" i="2"/>
  <c r="E29" i="20964"/>
  <c r="M21" i="2"/>
  <c r="E11" i="20964"/>
  <c r="E12" i="20964"/>
  <c r="E30" i="20964"/>
  <c r="M24" i="2"/>
  <c r="M23" i="2" s="1"/>
  <c r="R23" i="2" l="1"/>
  <c r="S24" i="2"/>
  <c r="S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2574DE33-EEDA-4EB6-8347-D49AEE8B6C6D}">
      <text>
        <r>
          <rPr>
            <b/>
            <sz val="8"/>
            <color indexed="81"/>
            <rFont val="Tahoma"/>
          </rPr>
          <t>mittlere integrale Aktivität; ermittelt über den Austauschzeitraum</t>
        </r>
      </text>
    </comment>
    <comment ref="G17" authorId="0" shapeId="0" xr:uid="{B0D642E0-D0DC-43B3-8DF8-D2BB5D1B3D9C}">
      <text>
        <r>
          <rPr>
            <sz val="8"/>
            <color indexed="81"/>
            <rFont val="Tahoma"/>
          </rPr>
          <t xml:space="preserve">zul. Jahresgrenzwerte
</t>
        </r>
      </text>
    </comment>
    <comment ref="H17" authorId="0" shapeId="0" xr:uid="{3B351D31-0792-4DAF-8B38-29F71DB9D70F}">
      <text>
        <r>
          <rPr>
            <sz val="8"/>
            <color indexed="81"/>
            <rFont val="Tahoma"/>
          </rPr>
          <t>zul. Wochendosis bei Aufenth.-Faktor T =1
1 Jahr = 50 Wochen</t>
        </r>
      </text>
    </comment>
    <comment ref="I17" authorId="0" shapeId="0" xr:uid="{E9CCBC29-B973-4B19-B96C-0E6FB003923E}">
      <text>
        <r>
          <rPr>
            <sz val="8"/>
            <color indexed="81"/>
            <rFont val="Tahoma"/>
          </rPr>
          <t xml:space="preserve">zul. Wochendosis unter Berücksichtigung von T; bei T &lt; 1 ist die zulässige Wo-Dosis entsprechend höher
</t>
        </r>
      </text>
    </comment>
    <comment ref="J17" authorId="0" shapeId="0" xr:uid="{75253D6D-F88F-420C-8A79-8D53FCC441F0}">
      <text>
        <r>
          <rPr>
            <sz val="8"/>
            <color indexed="81"/>
            <rFont val="Tahoma"/>
          </rPr>
          <t xml:space="preserve">zul.Dosisleistung bei Aufenth.-Faktor = 1
1 Jahr = 2000 h
</t>
        </r>
      </text>
    </comment>
    <comment ref="K17" authorId="0" shapeId="0" xr:uid="{DBE0E37D-2348-4CFA-AA91-10AD6DFEBC28}">
      <text>
        <r>
          <rPr>
            <sz val="8"/>
            <color indexed="81"/>
            <rFont val="Tahoma"/>
          </rPr>
          <t xml:space="preserve">zul. Dosisleistungswert unter Berücksichtigung von T; bei T &lt; 1 ist die zul. Dosisleistung entsprechend höher
</t>
        </r>
      </text>
    </comment>
    <comment ref="L18" authorId="0" shapeId="0" xr:uid="{7FA8CE43-A9F7-42CE-AECA-4C8B3741D79E}">
      <text>
        <r>
          <rPr>
            <sz val="8"/>
            <color indexed="81"/>
            <rFont val="Tahoma"/>
          </rPr>
          <t xml:space="preserve">berechneter notwendiger Schwäch.-Faktor auf der Basis der zul. Wochendosis
</t>
        </r>
      </text>
    </comment>
    <comment ref="N18" authorId="0" shapeId="0" xr:uid="{A409C5D9-1A9C-4623-835F-EEE62915FC03}">
      <text>
        <r>
          <rPr>
            <sz val="8"/>
            <color indexed="81"/>
            <rFont val="Tahoma"/>
          </rPr>
          <t xml:space="preserve">berechneter notwendiger Schwäch.-Faktor auf der Basis der zul. Dosisleistung bei laufendem Strahlbetrieb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7" authorId="0" shapeId="0" xr:uid="{F53820EB-14BD-452B-B41C-DEDCD76F7695}">
      <text>
        <r>
          <rPr>
            <b/>
            <sz val="8"/>
            <color indexed="81"/>
            <rFont val="Tahoma"/>
          </rPr>
          <t>ACHTUNG:
Baryt-Steine gibt es nur bis 3,7 !!</t>
        </r>
      </text>
    </comment>
  </commentList>
</comments>
</file>

<file path=xl/sharedStrings.xml><?xml version="1.0" encoding="utf-8"?>
<sst xmlns="http://schemas.openxmlformats.org/spreadsheetml/2006/main" count="194" uniqueCount="89">
  <si>
    <t>Punkt</t>
  </si>
  <si>
    <t>Aufenth
Faktor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</si>
  <si>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</si>
  <si>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</si>
  <si>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</si>
  <si>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</si>
  <si>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</si>
  <si>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</si>
  <si>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</si>
  <si>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</si>
  <si>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</si>
  <si>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Blei</t>
  </si>
  <si>
    <t>Baryt</t>
  </si>
  <si>
    <t>II</t>
  </si>
  <si>
    <t>III</t>
  </si>
  <si>
    <t>IV</t>
  </si>
  <si>
    <t>V</t>
  </si>
  <si>
    <t>VI</t>
  </si>
  <si>
    <t>VII</t>
  </si>
  <si>
    <t>VIII</t>
  </si>
  <si>
    <t>Ziegel</t>
  </si>
  <si>
    <t>Beton</t>
  </si>
  <si>
    <t xml:space="preserve">Quelle </t>
  </si>
  <si>
    <t>H (10)</t>
  </si>
  <si>
    <t>Ir-192</t>
  </si>
  <si>
    <t>[cm]</t>
  </si>
  <si>
    <t>FN</t>
  </si>
  <si>
    <t>FNs</t>
  </si>
  <si>
    <t>erforderl.
SchwGrad</t>
  </si>
  <si>
    <t>Jahr</t>
  </si>
  <si>
    <t>Woche</t>
  </si>
  <si>
    <t>Hw</t>
  </si>
  <si>
    <t>T</t>
  </si>
  <si>
    <t>Hs</t>
  </si>
  <si>
    <t>Stunde</t>
  </si>
  <si>
    <t>[μSv/h]</t>
  </si>
  <si>
    <t>DLx</t>
  </si>
  <si>
    <t>[mSv]</t>
  </si>
  <si>
    <t>[mSv/h]</t>
  </si>
  <si>
    <t>DL o</t>
  </si>
  <si>
    <t>Streu
Faktor</t>
  </si>
  <si>
    <t>Wv</t>
  </si>
  <si>
    <t>baul. Ausführung</t>
  </si>
  <si>
    <t>Hj</t>
  </si>
  <si>
    <t>FNw</t>
  </si>
  <si>
    <t>Hs * 1/T</t>
  </si>
  <si>
    <t>Hw * 1/T</t>
  </si>
  <si>
    <t>links</t>
  </si>
  <si>
    <t>rechts</t>
  </si>
  <si>
    <t>Tür</t>
  </si>
  <si>
    <t>Streu</t>
  </si>
  <si>
    <t>direkt</t>
  </si>
  <si>
    <t>e1</t>
  </si>
  <si>
    <t>e2</t>
  </si>
  <si>
    <t>lambda</t>
  </si>
  <si>
    <t>nominell</t>
  </si>
  <si>
    <t>effektiv</t>
  </si>
  <si>
    <r>
      <t xml:space="preserve">Aktiv </t>
    </r>
    <r>
      <rPr>
        <sz val="8"/>
        <rFont val="Arial"/>
        <family val="2"/>
      </rPr>
      <t>[GBq]</t>
    </r>
  </si>
  <si>
    <r>
      <t xml:space="preserve">HWZ </t>
    </r>
    <r>
      <rPr>
        <sz val="8"/>
        <rFont val="Arial"/>
        <family val="2"/>
      </rPr>
      <t>[d]</t>
    </r>
  </si>
  <si>
    <r>
      <t xml:space="preserve">H (10)
</t>
    </r>
    <r>
      <rPr>
        <sz val="10"/>
        <rFont val="Arial"/>
        <family val="2"/>
      </rPr>
      <t>[</t>
    </r>
    <r>
      <rPr>
        <sz val="8"/>
        <rFont val="Arial"/>
        <family val="2"/>
      </rPr>
      <t>mSv*m^2
h*GBq]</t>
    </r>
  </si>
  <si>
    <r>
      <t xml:space="preserve">Kenn-DL
</t>
    </r>
    <r>
      <rPr>
        <sz val="8"/>
        <rFont val="Arial"/>
        <family val="2"/>
      </rPr>
      <t>[mSv/h]</t>
    </r>
  </si>
  <si>
    <r>
      <t xml:space="preserve">Strahzeit
</t>
    </r>
    <r>
      <rPr>
        <sz val="8"/>
        <rFont val="Arial"/>
        <family val="2"/>
      </rPr>
      <t>[h/Woche]</t>
    </r>
  </si>
  <si>
    <t>a</t>
  </si>
  <si>
    <t>Abstand</t>
  </si>
  <si>
    <t>[m]</t>
  </si>
  <si>
    <t>Summe</t>
  </si>
  <si>
    <t>Boden</t>
  </si>
  <si>
    <t>Decke</t>
  </si>
  <si>
    <t>Ausgeführt</t>
  </si>
  <si>
    <t>Vorhanden</t>
  </si>
  <si>
    <t>Abschirmungen</t>
  </si>
  <si>
    <t>(Woche)</t>
  </si>
  <si>
    <t>FNg</t>
  </si>
  <si>
    <t>erforderl.</t>
  </si>
  <si>
    <t>-</t>
  </si>
  <si>
    <t>[mSv/a]</t>
  </si>
  <si>
    <t>Dosis</t>
  </si>
  <si>
    <t>Jahres</t>
  </si>
  <si>
    <t>Wechsel [d]</t>
  </si>
  <si>
    <t>Ende</t>
  </si>
  <si>
    <t>gerechnet</t>
  </si>
  <si>
    <r>
      <t xml:space="preserve">WA
</t>
    </r>
    <r>
      <rPr>
        <sz val="8"/>
        <rFont val="Arial"/>
        <family val="2"/>
      </rPr>
      <t>[Gy/woche]</t>
    </r>
  </si>
  <si>
    <t>[h/d]</t>
  </si>
  <si>
    <r>
      <t xml:space="preserve">Afterloading </t>
    </r>
    <r>
      <rPr>
        <b/>
        <sz val="10"/>
        <rFont val="Arial"/>
        <family val="2"/>
      </rPr>
      <t>nach</t>
    </r>
    <r>
      <rPr>
        <b/>
        <sz val="22"/>
        <rFont val="Arial"/>
        <family val="2"/>
      </rPr>
      <t xml:space="preserve"> DIN 6853-2</t>
    </r>
  </si>
  <si>
    <t>Frontwand</t>
  </si>
  <si>
    <t>Rückwand
(Flur)</t>
  </si>
  <si>
    <t>Dosis-Grenzwerte</t>
  </si>
  <si>
    <t>Schaltpult CT</t>
  </si>
  <si>
    <t>Schaltpult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</si>
</sst>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20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b/>
      <sz val="2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7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0" xfId="0" applyFont="1" applyFill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0" xfId="0" applyFont="1" applyFill="1"/>
    <xf numFmtId="2" fontId="0" fillId="2" borderId="2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74" fontId="0" fillId="2" borderId="2" xfId="0" applyNumberForma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right" wrapText="1"/>
    </xf>
    <xf numFmtId="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/>
    <xf numFmtId="0" fontId="14" fillId="0" borderId="0" xfId="0" applyFont="1" applyFill="1"/>
    <xf numFmtId="1" fontId="6" fillId="2" borderId="5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/>
    <xf numFmtId="1" fontId="6" fillId="2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74" fontId="0" fillId="0" borderId="0" xfId="0" applyNumberFormat="1" applyFill="1" applyAlignment="1">
      <alignment horizontal="center"/>
    </xf>
    <xf numFmtId="1" fontId="6" fillId="0" borderId="5" xfId="0" quotePrefix="1" applyNumberFormat="1" applyFont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174" fontId="0" fillId="0" borderId="2" xfId="0" quotePrefix="1" applyNumberFormat="1" applyFill="1" applyBorder="1" applyAlignment="1">
      <alignment horizontal="center"/>
    </xf>
    <xf numFmtId="1" fontId="0" fillId="0" borderId="8" xfId="0" quotePrefix="1" applyNumberFormat="1" applyFill="1" applyBorder="1" applyAlignment="1">
      <alignment horizontal="center"/>
    </xf>
    <xf numFmtId="0" fontId="0" fillId="0" borderId="8" xfId="0" quotePrefix="1" applyNumberForma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left"/>
    </xf>
    <xf numFmtId="2" fontId="0" fillId="0" borderId="2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2" fontId="7" fillId="2" borderId="0" xfId="0" quotePrefix="1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0" fillId="2" borderId="12" xfId="0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3" borderId="16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0" fontId="6" fillId="3" borderId="19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2" borderId="6" xfId="0" applyFill="1" applyBorder="1"/>
    <xf numFmtId="0" fontId="6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174" fontId="0" fillId="2" borderId="22" xfId="0" applyNumberFormat="1" applyFill="1" applyBorder="1" applyAlignment="1">
      <alignment horizontal="center"/>
    </xf>
    <xf numFmtId="174" fontId="0" fillId="2" borderId="23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174" fontId="6" fillId="2" borderId="0" xfId="0" applyNumberFormat="1" applyFont="1" applyFill="1" applyAlignment="1">
      <alignment horizontal="center"/>
    </xf>
    <xf numFmtId="174" fontId="6" fillId="0" borderId="0" xfId="0" applyNumberFormat="1" applyFont="1" applyFill="1" applyAlignment="1">
      <alignment horizontal="center"/>
    </xf>
    <xf numFmtId="174" fontId="15" fillId="2" borderId="0" xfId="0" applyNumberFormat="1" applyFont="1" applyFill="1" applyAlignment="1">
      <alignment horizontal="center"/>
    </xf>
    <xf numFmtId="1" fontId="0" fillId="0" borderId="8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3" borderId="15" xfId="0" quotePrefix="1" applyNumberFormat="1" applyFill="1" applyBorder="1" applyAlignment="1">
      <alignment horizontal="center"/>
    </xf>
    <xf numFmtId="3" fontId="0" fillId="3" borderId="18" xfId="0" quotePrefix="1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174" fontId="6" fillId="3" borderId="16" xfId="0" applyNumberFormat="1" applyFont="1" applyFill="1" applyBorder="1" applyAlignment="1">
      <alignment horizontal="center"/>
    </xf>
    <xf numFmtId="174" fontId="6" fillId="3" borderId="19" xfId="0" applyNumberFormat="1" applyFont="1" applyFill="1" applyBorder="1" applyAlignment="1">
      <alignment horizontal="center"/>
    </xf>
    <xf numFmtId="174" fontId="0" fillId="3" borderId="8" xfId="0" applyNumberFormat="1" applyFill="1" applyBorder="1" applyAlignment="1">
      <alignment horizontal="center"/>
    </xf>
    <xf numFmtId="0" fontId="10" fillId="6" borderId="13" xfId="0" applyFont="1" applyFill="1" applyBorder="1" applyAlignment="1">
      <alignment horizontal="right"/>
    </xf>
    <xf numFmtId="2" fontId="1" fillId="6" borderId="13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2" fontId="10" fillId="6" borderId="13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2" fontId="10" fillId="6" borderId="19" xfId="0" applyNumberFormat="1" applyFont="1" applyFill="1" applyBorder="1" applyAlignment="1">
      <alignment horizontal="center"/>
    </xf>
    <xf numFmtId="3" fontId="10" fillId="6" borderId="18" xfId="0" quotePrefix="1" applyNumberFormat="1" applyFont="1" applyFill="1" applyBorder="1" applyAlignment="1">
      <alignment horizontal="center"/>
    </xf>
    <xf numFmtId="0" fontId="10" fillId="6" borderId="19" xfId="0" applyNumberFormat="1" applyFont="1" applyFill="1" applyBorder="1" applyAlignment="1">
      <alignment horizontal="center"/>
    </xf>
    <xf numFmtId="0" fontId="10" fillId="6" borderId="5" xfId="0" applyNumberFormat="1" applyFont="1" applyFill="1" applyBorder="1" applyAlignment="1">
      <alignment horizontal="center"/>
    </xf>
    <xf numFmtId="174" fontId="10" fillId="6" borderId="23" xfId="0" applyNumberFormat="1" applyFont="1" applyFill="1" applyBorder="1" applyAlignment="1">
      <alignment horizontal="center"/>
    </xf>
    <xf numFmtId="174" fontId="10" fillId="6" borderId="19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3" fontId="10" fillId="6" borderId="0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  <xf numFmtId="1" fontId="15" fillId="6" borderId="5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174" fontId="10" fillId="6" borderId="2" xfId="0" applyNumberFormat="1" applyFont="1" applyFill="1" applyBorder="1" applyAlignment="1">
      <alignment horizontal="center"/>
    </xf>
    <xf numFmtId="1" fontId="10" fillId="6" borderId="8" xfId="0" applyNumberFormat="1" applyFont="1" applyFill="1" applyBorder="1" applyAlignment="1">
      <alignment horizontal="center"/>
    </xf>
    <xf numFmtId="3" fontId="10" fillId="6" borderId="10" xfId="0" applyNumberFormat="1" applyFont="1" applyFill="1" applyBorder="1" applyAlignment="1">
      <alignment horizontal="right"/>
    </xf>
    <xf numFmtId="2" fontId="10" fillId="6" borderId="0" xfId="0" applyNumberFormat="1" applyFont="1" applyFill="1" applyAlignment="1">
      <alignment horizontal="right"/>
    </xf>
    <xf numFmtId="174" fontId="15" fillId="6" borderId="0" xfId="0" applyNumberFormat="1" applyFont="1" applyFill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" fillId="2" borderId="24" xfId="0" applyFont="1" applyFill="1" applyBorder="1" applyAlignment="1" applyProtection="1">
      <alignment horizontal="center"/>
      <protection locked="0"/>
    </xf>
    <xf numFmtId="1" fontId="3" fillId="2" borderId="0" xfId="0" quotePrefix="1" applyNumberFormat="1" applyFont="1" applyFill="1" applyAlignment="1" applyProtection="1">
      <alignment horizontal="center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2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/>
    </xf>
    <xf numFmtId="11" fontId="0" fillId="2" borderId="28" xfId="0" applyNumberFormat="1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2" fontId="0" fillId="2" borderId="0" xfId="0" applyNumberForma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1" fontId="0" fillId="2" borderId="0" xfId="0" applyNumberFormat="1" applyFill="1" applyAlignment="1">
      <alignment horizontal="center" vertical="center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74" fontId="0" fillId="2" borderId="2" xfId="0" applyNumberFormat="1" applyFill="1" applyBorder="1" applyAlignment="1">
      <alignment horizontal="center"/>
    </xf>
    <xf numFmtId="174" fontId="0" fillId="2" borderId="8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9</xdr:row>
      <xdr:rowOff>257175</xdr:rowOff>
    </xdr:from>
    <xdr:to>
      <xdr:col>18</xdr:col>
      <xdr:colOff>457200</xdr:colOff>
      <xdr:row>12</xdr:row>
      <xdr:rowOff>114300</xdr:rowOff>
    </xdr:to>
    <xdr:pic>
      <xdr:nvPicPr>
        <xdr:cNvPr id="1034" name="Picture 9" descr="C:\DAMP\Marketing\Logo.eps">
          <a:extLst>
            <a:ext uri="{FF2B5EF4-FFF2-40B4-BE49-F238E27FC236}">
              <a16:creationId xmlns:a16="http://schemas.microsoft.com/office/drawing/2014/main" id="{B4A8B2BE-42FA-27DA-A051-BAB90812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752725"/>
          <a:ext cx="5972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485775</xdr:rowOff>
    </xdr:from>
    <xdr:to>
      <xdr:col>20</xdr:col>
      <xdr:colOff>285750</xdr:colOff>
      <xdr:row>2</xdr:row>
      <xdr:rowOff>228600</xdr:rowOff>
    </xdr:to>
    <xdr:pic>
      <xdr:nvPicPr>
        <xdr:cNvPr id="2051" name="Picture 2" descr="C:\DAMP\Marketing\Logo.eps">
          <a:extLst>
            <a:ext uri="{FF2B5EF4-FFF2-40B4-BE49-F238E27FC236}">
              <a16:creationId xmlns:a16="http://schemas.microsoft.com/office/drawing/2014/main" id="{B6398D94-37D7-CA76-1286-78F2B4BB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85775"/>
          <a:ext cx="5972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E3EE-9AEC-4F27-9243-556CFCE13BCB}">
  <sheetPr>
    <pageSetUpPr fitToPage="1"/>
  </sheetPr>
  <dimension ref="A1:AM49"/>
  <sheetViews>
    <sheetView tabSelected="1" zoomScale="80" workbookViewId="0">
      <selection activeCell="I5" sqref="I5"/>
    </sheetView>
  </sheetViews>
  <sheetFormatPr baseColWidth="10" defaultRowHeight="12.75" x14ac:dyDescent="0.2"/>
  <cols>
    <col min="1" max="1" width="16.85546875" style="3" customWidth="1"/>
    <col min="2" max="2" width="14" style="1" customWidth="1"/>
    <col min="3" max="3" width="8.5703125" style="1" customWidth="1"/>
    <col min="4" max="4" width="8.7109375" style="1" customWidth="1"/>
    <col min="5" max="5" width="8.28515625" style="1" customWidth="1"/>
    <col min="6" max="6" width="12.28515625" style="1" customWidth="1"/>
    <col min="7" max="8" width="6.140625" style="1" bestFit="1" customWidth="1"/>
    <col min="9" max="9" width="9" style="1" bestFit="1" customWidth="1"/>
    <col min="10" max="10" width="7.28515625" style="1" customWidth="1"/>
    <col min="11" max="11" width="8.7109375" style="1" bestFit="1" customWidth="1"/>
    <col min="12" max="12" width="7" style="6" bestFit="1" customWidth="1"/>
    <col min="13" max="13" width="9.28515625" style="1" bestFit="1" customWidth="1"/>
    <col min="14" max="15" width="7.28515625" style="1" customWidth="1"/>
    <col min="16" max="16" width="3.85546875" style="88" customWidth="1"/>
    <col min="17" max="18" width="8.140625" style="1" bestFit="1" customWidth="1"/>
    <col min="19" max="19" width="7.85546875" style="1" bestFit="1" customWidth="1"/>
    <col min="20" max="33" width="7.28515625" style="1" customWidth="1"/>
    <col min="34" max="36" width="11.42578125" style="1"/>
    <col min="37" max="37" width="11.42578125" style="7"/>
  </cols>
  <sheetData>
    <row r="1" spans="1:37" ht="60.75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37" ht="13.5" thickBot="1" x14ac:dyDescent="0.25">
      <c r="B2" s="89" t="s">
        <v>55</v>
      </c>
      <c r="C2" s="89" t="s">
        <v>56</v>
      </c>
      <c r="D2" s="89" t="s">
        <v>79</v>
      </c>
      <c r="F2" s="97" t="s">
        <v>80</v>
      </c>
      <c r="H2" s="86"/>
      <c r="L2" s="86"/>
      <c r="N2" s="88"/>
      <c r="AJ2" s="7"/>
      <c r="AK2"/>
    </row>
    <row r="3" spans="1:37" ht="16.5" thickBot="1" x14ac:dyDescent="0.3">
      <c r="A3" s="4" t="s">
        <v>22</v>
      </c>
      <c r="B3" s="203" t="s">
        <v>24</v>
      </c>
      <c r="C3" s="203"/>
      <c r="D3" s="203"/>
      <c r="E3" s="90"/>
      <c r="F3" s="193" t="str">
        <f>B3</f>
        <v>Ir-192</v>
      </c>
      <c r="H3"/>
      <c r="I3" s="3"/>
      <c r="J3" s="155"/>
      <c r="K3" s="126"/>
      <c r="L3" s="8"/>
      <c r="M3" s="156"/>
      <c r="N3" s="88"/>
      <c r="O3" s="87"/>
      <c r="P3" s="126"/>
      <c r="AJ3" s="7"/>
      <c r="AK3"/>
    </row>
    <row r="4" spans="1:37" ht="16.5" thickBot="1" x14ac:dyDescent="0.3">
      <c r="A4" s="4" t="s">
        <v>57</v>
      </c>
      <c r="B4" s="197">
        <v>450</v>
      </c>
      <c r="C4" s="198">
        <f>IF(Qwechsel&gt;0,(1/lambda)*(1-EXP(-lambda*Qwechsel))/Qwechsel*AKTn,AKTn)</f>
        <v>304.07530380836522</v>
      </c>
      <c r="D4" s="199">
        <f>AKTn*EXP(-lambda*Qwechsel)</f>
        <v>193.72866041419957</v>
      </c>
      <c r="E4" s="200"/>
      <c r="F4" s="201">
        <v>450</v>
      </c>
      <c r="H4"/>
      <c r="I4" s="3"/>
      <c r="J4" s="73"/>
      <c r="K4" s="126"/>
      <c r="L4" s="8"/>
      <c r="M4" s="156"/>
      <c r="N4" s="73"/>
      <c r="O4" s="87"/>
      <c r="P4" s="126"/>
      <c r="AJ4" s="7"/>
      <c r="AK4"/>
    </row>
    <row r="5" spans="1:37" ht="13.5" thickBot="1" x14ac:dyDescent="0.25">
      <c r="A5" s="4"/>
      <c r="B5" s="95">
        <f>B4/AKTn</f>
        <v>1</v>
      </c>
      <c r="C5" s="95">
        <f>C4/AKTn</f>
        <v>0.6757228973519227</v>
      </c>
      <c r="D5" s="96">
        <f>D4/AKTn</f>
        <v>0.43050813425377682</v>
      </c>
      <c r="F5" s="195"/>
      <c r="H5"/>
      <c r="I5" s="3"/>
      <c r="J5" s="73"/>
      <c r="K5" s="126"/>
      <c r="L5" s="8"/>
      <c r="M5" s="156"/>
      <c r="N5" s="88"/>
      <c r="O5" s="87"/>
      <c r="P5" s="126"/>
      <c r="AJ5" s="7"/>
      <c r="AK5"/>
    </row>
    <row r="6" spans="1:37" ht="13.5" thickBot="1" x14ac:dyDescent="0.25">
      <c r="A6" s="4" t="s">
        <v>78</v>
      </c>
      <c r="B6" s="205">
        <v>90</v>
      </c>
      <c r="C6" s="206"/>
      <c r="D6" s="207"/>
      <c r="F6" s="195"/>
      <c r="H6"/>
      <c r="I6" s="3"/>
      <c r="J6" s="85"/>
      <c r="K6" s="126"/>
      <c r="L6" s="8"/>
      <c r="M6" s="156"/>
      <c r="N6" s="85"/>
      <c r="O6" s="87"/>
      <c r="P6" s="126"/>
      <c r="AJ6" s="7"/>
      <c r="AK6"/>
    </row>
    <row r="7" spans="1:37" ht="36.75" x14ac:dyDescent="0.2">
      <c r="A7" s="52" t="s">
        <v>59</v>
      </c>
      <c r="B7" s="204">
        <v>0.13900000000000001</v>
      </c>
      <c r="C7" s="204"/>
      <c r="D7" s="204"/>
      <c r="F7" s="195"/>
      <c r="G7" s="5"/>
      <c r="I7" s="54"/>
      <c r="J7" s="101"/>
      <c r="K7" s="127"/>
      <c r="L7" s="157"/>
      <c r="M7" s="158"/>
      <c r="N7" s="101"/>
      <c r="O7" s="98"/>
      <c r="P7" s="12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x14ac:dyDescent="0.2">
      <c r="A8" s="4" t="s">
        <v>58</v>
      </c>
      <c r="B8" s="208">
        <v>74.02</v>
      </c>
      <c r="C8" s="208"/>
      <c r="D8" s="208"/>
      <c r="F8" s="195"/>
      <c r="G8" s="5"/>
      <c r="H8" s="5"/>
      <c r="I8" s="5"/>
      <c r="K8" s="6"/>
      <c r="L8" s="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">
      <c r="A9" s="4" t="s">
        <v>54</v>
      </c>
      <c r="B9" s="219">
        <f>LN(2)/HWZ</f>
        <v>9.3643228932713506E-3</v>
      </c>
      <c r="C9" s="219"/>
      <c r="D9" s="219"/>
      <c r="F9" s="195"/>
      <c r="G9" s="5"/>
      <c r="H9" s="5"/>
      <c r="I9" s="5"/>
      <c r="K9" s="6"/>
      <c r="L9" s="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4.75" thickBot="1" x14ac:dyDescent="0.25">
      <c r="A10" s="52" t="s">
        <v>60</v>
      </c>
      <c r="B10" s="53">
        <f>AKTn*B7</f>
        <v>62.550000000000004</v>
      </c>
      <c r="C10" s="53">
        <f>C4*B7</f>
        <v>42.266467229362767</v>
      </c>
      <c r="D10" s="53">
        <f>D4*B7</f>
        <v>26.928283797573741</v>
      </c>
      <c r="F10" s="194">
        <f>F4*B7</f>
        <v>62.550000000000004</v>
      </c>
      <c r="K10" s="6"/>
      <c r="L10" s="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24.75" thickBot="1" x14ac:dyDescent="0.25">
      <c r="A11" s="52" t="s">
        <v>81</v>
      </c>
      <c r="B11" s="220">
        <v>0.3</v>
      </c>
      <c r="C11" s="221"/>
      <c r="D11" s="222"/>
      <c r="E11" s="200"/>
      <c r="F11" s="202">
        <v>0.3</v>
      </c>
      <c r="K11" s="6"/>
      <c r="L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4" x14ac:dyDescent="0.2">
      <c r="A12" s="52" t="s">
        <v>61</v>
      </c>
      <c r="B12" s="53">
        <f>$B$11/B10*1000</f>
        <v>4.796163069544364</v>
      </c>
      <c r="C12" s="53">
        <f>$B$11/C10*1000</f>
        <v>7.0978252895379956</v>
      </c>
      <c r="D12" s="53">
        <f>$B$11/D10*1000</f>
        <v>11.140702551086088</v>
      </c>
      <c r="F12" s="194">
        <f>WA/KennDL*1000</f>
        <v>4.796163069544364</v>
      </c>
      <c r="J12" s="6"/>
      <c r="L12" s="1"/>
      <c r="O12"/>
      <c r="P12" s="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">
      <c r="A13" s="94" t="s">
        <v>82</v>
      </c>
      <c r="B13" s="53">
        <f>B12/5</f>
        <v>0.95923261390887282</v>
      </c>
      <c r="C13" s="53">
        <f>C12/5</f>
        <v>1.4195650579075991</v>
      </c>
      <c r="D13" s="53">
        <f>D12/5</f>
        <v>2.2281405102172176</v>
      </c>
      <c r="F13" s="196"/>
      <c r="J13" s="6"/>
      <c r="L13" s="1"/>
      <c r="O13"/>
      <c r="P13" s="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9.5" customHeight="1" x14ac:dyDescent="0.2">
      <c r="A14" s="94"/>
      <c r="B14" s="101"/>
      <c r="C14" s="101"/>
      <c r="D14" s="101"/>
      <c r="F14" s="91"/>
      <c r="J14" s="6"/>
      <c r="L14" s="1"/>
      <c r="O14"/>
      <c r="P14" s="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25.5" x14ac:dyDescent="0.2">
      <c r="A15" s="12" t="s">
        <v>0</v>
      </c>
      <c r="B15" s="15"/>
      <c r="C15" s="17" t="s">
        <v>63</v>
      </c>
      <c r="D15" s="17" t="s">
        <v>40</v>
      </c>
      <c r="E15" s="12"/>
      <c r="F15" s="55" t="s">
        <v>1</v>
      </c>
      <c r="G15" s="210" t="s">
        <v>86</v>
      </c>
      <c r="H15" s="211"/>
      <c r="I15" s="211"/>
      <c r="J15" s="211"/>
      <c r="K15" s="211"/>
      <c r="L15" s="212" t="s">
        <v>28</v>
      </c>
      <c r="M15" s="214"/>
      <c r="N15" s="214"/>
      <c r="O15" s="213"/>
      <c r="P15" s="134"/>
      <c r="Q15" s="210" t="s">
        <v>68</v>
      </c>
      <c r="R15" s="223"/>
      <c r="S15" s="2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5.5" x14ac:dyDescent="0.2">
      <c r="A16" s="15"/>
      <c r="B16" s="15"/>
      <c r="C16" s="17"/>
      <c r="D16" s="17"/>
      <c r="E16" s="20"/>
      <c r="F16" s="18"/>
      <c r="G16" s="100" t="s">
        <v>29</v>
      </c>
      <c r="H16" s="212" t="s">
        <v>30</v>
      </c>
      <c r="I16" s="213"/>
      <c r="J16" s="212" t="s">
        <v>34</v>
      </c>
      <c r="K16" s="214"/>
      <c r="L16" s="215" t="s">
        <v>30</v>
      </c>
      <c r="M16" s="216"/>
      <c r="N16" s="217" t="s">
        <v>34</v>
      </c>
      <c r="O16" s="218"/>
      <c r="P16" s="135"/>
      <c r="Q16" s="99"/>
      <c r="R16" s="129" t="str">
        <f>F4&amp;" GBq"</f>
        <v>450 GBq</v>
      </c>
      <c r="S16" s="128" t="s">
        <v>77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9" s="2" customFormat="1" x14ac:dyDescent="0.2">
      <c r="A17" s="40"/>
      <c r="B17" s="40"/>
      <c r="C17" s="14" t="s">
        <v>62</v>
      </c>
      <c r="D17" s="14"/>
      <c r="E17" s="41" t="s">
        <v>39</v>
      </c>
      <c r="F17" s="42" t="s">
        <v>32</v>
      </c>
      <c r="G17" s="43" t="s">
        <v>43</v>
      </c>
      <c r="H17" s="36" t="s">
        <v>31</v>
      </c>
      <c r="I17" s="22" t="s">
        <v>46</v>
      </c>
      <c r="J17" s="30" t="s">
        <v>33</v>
      </c>
      <c r="K17" s="21" t="s">
        <v>45</v>
      </c>
      <c r="L17" s="44" t="s">
        <v>44</v>
      </c>
      <c r="M17" s="92" t="s">
        <v>36</v>
      </c>
      <c r="N17" s="46" t="s">
        <v>27</v>
      </c>
      <c r="O17" s="45" t="s">
        <v>36</v>
      </c>
      <c r="P17" s="134"/>
      <c r="Q17" s="46" t="s">
        <v>72</v>
      </c>
      <c r="R17" s="130" t="s">
        <v>23</v>
      </c>
      <c r="S17" s="22" t="s">
        <v>76</v>
      </c>
    </row>
    <row r="18" spans="1:39" ht="13.5" thickBot="1" x14ac:dyDescent="0.25">
      <c r="A18" s="16"/>
      <c r="B18" s="16"/>
      <c r="C18" s="13" t="s">
        <v>64</v>
      </c>
      <c r="D18" s="13"/>
      <c r="E18" s="23" t="s">
        <v>38</v>
      </c>
      <c r="F18" s="9"/>
      <c r="G18" s="34" t="s">
        <v>37</v>
      </c>
      <c r="H18" s="37" t="s">
        <v>37</v>
      </c>
      <c r="I18" s="24" t="s">
        <v>37</v>
      </c>
      <c r="J18" s="38" t="s">
        <v>35</v>
      </c>
      <c r="K18" s="23" t="s">
        <v>35</v>
      </c>
      <c r="L18" s="37"/>
      <c r="M18" s="93" t="s">
        <v>35</v>
      </c>
      <c r="N18" s="39" t="s">
        <v>34</v>
      </c>
      <c r="O18" s="24" t="s">
        <v>35</v>
      </c>
      <c r="P18" s="136"/>
      <c r="Q18" s="38"/>
      <c r="R18" s="131" t="s">
        <v>35</v>
      </c>
      <c r="S18" s="24" t="s">
        <v>75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9" ht="26.25" customHeight="1" x14ac:dyDescent="0.2">
      <c r="A19" s="102" t="s">
        <v>2</v>
      </c>
      <c r="B19" s="103" t="s">
        <v>85</v>
      </c>
      <c r="C19" s="159">
        <v>2.2000000000000002</v>
      </c>
      <c r="D19" s="104">
        <v>1</v>
      </c>
      <c r="E19" s="105">
        <f>IF(Abstand&gt;0,KennDL/(Abstand^2)*Streuung,"")</f>
        <v>12.923553719008263</v>
      </c>
      <c r="F19" s="112">
        <v>1</v>
      </c>
      <c r="G19" s="113">
        <v>1</v>
      </c>
      <c r="H19" s="114">
        <f>Hj/50</f>
        <v>0.02</v>
      </c>
      <c r="I19" s="115">
        <f>IF(T&gt;0,Hw/T,"-")</f>
        <v>0.02</v>
      </c>
      <c r="J19" s="116">
        <f>IF(T&gt;0,Hj/2000*1000,"-")</f>
        <v>0.5</v>
      </c>
      <c r="K19" s="106">
        <f>IF(T&gt;0,Hs/T,"-")</f>
        <v>0.5</v>
      </c>
      <c r="L19" s="146">
        <f>IF(T&gt;0,DLo*Zeit/I19,1)</f>
        <v>3099.1735537190075</v>
      </c>
      <c r="M19" s="117">
        <f>IF(T&gt;0,DLo/FNw*1000,"-")</f>
        <v>4.17</v>
      </c>
      <c r="N19" s="144">
        <f>IF(T&gt;0,DLo/K19*1000,"-")</f>
        <v>25847.107438016526</v>
      </c>
      <c r="O19" s="118">
        <f>IF(T&gt;0,DLo/FNs*1000,"-")</f>
        <v>0.5</v>
      </c>
      <c r="P19" s="137"/>
      <c r="Q19" s="142">
        <f>IF(T&gt;0,Abschirmungen!C27,"-")</f>
        <v>4582.3399999999992</v>
      </c>
      <c r="R19" s="132">
        <f>Abschirmungen!D27</f>
        <v>2.8202956827752339</v>
      </c>
      <c r="S19" s="161">
        <f>IF(T&gt;0,R19*Zeit*50/1000,"-")</f>
        <v>0.67632989994609916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9" ht="15.95" customHeight="1" x14ac:dyDescent="0.2">
      <c r="A20" s="107" t="s">
        <v>3</v>
      </c>
      <c r="B20" s="108" t="s">
        <v>84</v>
      </c>
      <c r="C20" s="160">
        <v>2.0499999999999998</v>
      </c>
      <c r="D20" s="109">
        <v>1</v>
      </c>
      <c r="E20" s="110">
        <f t="shared" ref="E20:E29" si="0">IF(Abstand&gt;0,KennDL/(Abstand^2)*Streuung,"")</f>
        <v>14.883997620464012</v>
      </c>
      <c r="F20" s="119">
        <v>1</v>
      </c>
      <c r="G20" s="120">
        <v>1</v>
      </c>
      <c r="H20" s="121">
        <f t="shared" ref="H20:H29" si="1">Hj/50</f>
        <v>0.02</v>
      </c>
      <c r="I20" s="122">
        <f t="shared" ref="I20:I29" si="2">IF(T&gt;0,Hw/T,"-")</f>
        <v>0.02</v>
      </c>
      <c r="J20" s="123">
        <f t="shared" ref="J20:J29" si="3">IF(T&gt;0,Hj/2000*1000,"-")</f>
        <v>0.5</v>
      </c>
      <c r="K20" s="111">
        <f t="shared" ref="K20:K29" si="4">IF(T&gt;0,Hs/T,"-")</f>
        <v>0.5</v>
      </c>
      <c r="L20" s="147">
        <f t="shared" ref="L20:L29" si="5">IF(T&gt;0,DLo*Zeit/I20,1)</f>
        <v>3569.3039857227845</v>
      </c>
      <c r="M20" s="124">
        <f t="shared" ref="M20:M29" si="6">IF(T&gt;0,DLo/FNw*1000,"-")</f>
        <v>4.17</v>
      </c>
      <c r="N20" s="145">
        <f t="shared" ref="N20:N29" si="7">IF(T&gt;0,DLo/K20*1000,"-")</f>
        <v>29767.995240928023</v>
      </c>
      <c r="O20" s="125">
        <f t="shared" ref="O20:O29" si="8">IF(T&gt;0,DLo/FNs*1000,"-")</f>
        <v>0.5</v>
      </c>
      <c r="P20" s="137"/>
      <c r="Q20" s="143">
        <f>IF(T&gt;0,Abschirmungen!C28,"-")</f>
        <v>5077</v>
      </c>
      <c r="R20" s="133">
        <f>Abschirmungen!D28</f>
        <v>2.9316520820295473</v>
      </c>
      <c r="S20" s="162">
        <f t="shared" ref="S20:S29" si="9">IF(T&gt;0,R20*Zeit*50/1000,"-")</f>
        <v>0.70303407242914795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9" ht="15.95" customHeight="1" x14ac:dyDescent="0.2">
      <c r="A21" s="107" t="s">
        <v>4</v>
      </c>
      <c r="B21" s="108" t="s">
        <v>48</v>
      </c>
      <c r="C21" s="160">
        <v>4.2</v>
      </c>
      <c r="D21" s="109">
        <v>1</v>
      </c>
      <c r="E21" s="110">
        <f t="shared" si="0"/>
        <v>3.545918367346939</v>
      </c>
      <c r="F21" s="119">
        <v>1</v>
      </c>
      <c r="G21" s="120">
        <v>1</v>
      </c>
      <c r="H21" s="121">
        <f t="shared" si="1"/>
        <v>0.02</v>
      </c>
      <c r="I21" s="122">
        <f t="shared" si="2"/>
        <v>0.02</v>
      </c>
      <c r="J21" s="123">
        <f t="shared" si="3"/>
        <v>0.5</v>
      </c>
      <c r="K21" s="111">
        <f t="shared" si="4"/>
        <v>0.5</v>
      </c>
      <c r="L21" s="147">
        <f t="shared" si="5"/>
        <v>850.34013605442169</v>
      </c>
      <c r="M21" s="124">
        <f t="shared" si="6"/>
        <v>4.1700000000000008</v>
      </c>
      <c r="N21" s="145">
        <f t="shared" si="7"/>
        <v>7091.8367346938776</v>
      </c>
      <c r="O21" s="125">
        <f t="shared" si="8"/>
        <v>0.5</v>
      </c>
      <c r="P21" s="137"/>
      <c r="Q21" s="143">
        <f>IF(T&gt;0,Abschirmungen!C29,"-")</f>
        <v>5077</v>
      </c>
      <c r="R21" s="133">
        <f>Abschirmungen!D29</f>
        <v>0.69842788405494161</v>
      </c>
      <c r="S21" s="162">
        <f t="shared" si="9"/>
        <v>0.16748870121221621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9" ht="15.95" customHeight="1" x14ac:dyDescent="0.2">
      <c r="A22" s="107" t="s">
        <v>5</v>
      </c>
      <c r="B22" s="108" t="s">
        <v>47</v>
      </c>
      <c r="C22" s="160">
        <v>2.2000000000000002</v>
      </c>
      <c r="D22" s="109">
        <v>1</v>
      </c>
      <c r="E22" s="110">
        <f t="shared" si="0"/>
        <v>12.923553719008263</v>
      </c>
      <c r="F22" s="119">
        <v>1</v>
      </c>
      <c r="G22" s="120">
        <v>1</v>
      </c>
      <c r="H22" s="121">
        <f t="shared" si="1"/>
        <v>0.02</v>
      </c>
      <c r="I22" s="122">
        <f t="shared" si="2"/>
        <v>0.02</v>
      </c>
      <c r="J22" s="123">
        <f t="shared" si="3"/>
        <v>0.5</v>
      </c>
      <c r="K22" s="111">
        <f t="shared" si="4"/>
        <v>0.5</v>
      </c>
      <c r="L22" s="147">
        <f t="shared" si="5"/>
        <v>3099.1735537190075</v>
      </c>
      <c r="M22" s="124">
        <f t="shared" si="6"/>
        <v>4.17</v>
      </c>
      <c r="N22" s="145">
        <f t="shared" si="7"/>
        <v>25847.107438016526</v>
      </c>
      <c r="O22" s="125">
        <f t="shared" si="8"/>
        <v>0.5</v>
      </c>
      <c r="P22" s="137"/>
      <c r="Q22" s="143">
        <f>IF(T&gt;0,Abschirmungen!C30,"-")</f>
        <v>5077</v>
      </c>
      <c r="R22" s="133">
        <f>Abschirmungen!D30</f>
        <v>2.5455098914729688</v>
      </c>
      <c r="S22" s="162">
        <f t="shared" si="9"/>
        <v>0.61043402673212677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9" ht="15.95" customHeight="1" x14ac:dyDescent="0.2">
      <c r="A23" s="107" t="s">
        <v>6</v>
      </c>
      <c r="B23" s="108" t="s">
        <v>49</v>
      </c>
      <c r="C23" s="160"/>
      <c r="D23" s="109"/>
      <c r="E23" s="110">
        <f>SUM(E24:E25)</f>
        <v>4.7535452841091796</v>
      </c>
      <c r="F23" s="119">
        <v>1</v>
      </c>
      <c r="G23" s="120">
        <f>SUM(G24:G25)</f>
        <v>1</v>
      </c>
      <c r="H23" s="121">
        <f t="shared" si="1"/>
        <v>0.02</v>
      </c>
      <c r="I23" s="122">
        <f t="shared" si="2"/>
        <v>0.02</v>
      </c>
      <c r="J23" s="123">
        <f>SUM(J24:J25)</f>
        <v>0.5</v>
      </c>
      <c r="K23" s="111">
        <f>SUM(K24:K25)</f>
        <v>0.5</v>
      </c>
      <c r="L23" s="147" t="s">
        <v>74</v>
      </c>
      <c r="M23" s="124">
        <f>SUM(M24:M25)</f>
        <v>4.17</v>
      </c>
      <c r="N23" s="143" t="s">
        <v>74</v>
      </c>
      <c r="O23" s="125">
        <f>SUM(O24:O25)</f>
        <v>0.5</v>
      </c>
      <c r="P23" s="137"/>
      <c r="Q23" s="143" t="s">
        <v>74</v>
      </c>
      <c r="R23" s="133">
        <f>SUM(R24:R25)</f>
        <v>4.3164876623026567</v>
      </c>
      <c r="S23" s="162">
        <f>SUM(S24:S25)</f>
        <v>1.0351289358039941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51" customFormat="1" ht="15.95" customHeight="1" x14ac:dyDescent="0.2">
      <c r="A24" s="164" t="s">
        <v>52</v>
      </c>
      <c r="B24" s="164" t="s">
        <v>50</v>
      </c>
      <c r="C24" s="165">
        <f>2.252+4.006</f>
        <v>6.258</v>
      </c>
      <c r="D24" s="166">
        <v>0.1</v>
      </c>
      <c r="E24" s="167">
        <f t="shared" si="0"/>
        <v>0.15971885804004049</v>
      </c>
      <c r="F24" s="168">
        <v>1</v>
      </c>
      <c r="G24" s="168">
        <v>0.5</v>
      </c>
      <c r="H24" s="169">
        <f t="shared" si="1"/>
        <v>0.01</v>
      </c>
      <c r="I24" s="170">
        <f t="shared" si="2"/>
        <v>0.01</v>
      </c>
      <c r="J24" s="169">
        <f t="shared" si="3"/>
        <v>0.25</v>
      </c>
      <c r="K24" s="166">
        <f t="shared" si="4"/>
        <v>0.25</v>
      </c>
      <c r="L24" s="171">
        <f t="shared" si="5"/>
        <v>76.603768844144113</v>
      </c>
      <c r="M24" s="172">
        <f t="shared" si="6"/>
        <v>2.085</v>
      </c>
      <c r="N24" s="173">
        <f t="shared" si="7"/>
        <v>638.87543216016195</v>
      </c>
      <c r="O24" s="174">
        <f t="shared" si="8"/>
        <v>0.25</v>
      </c>
      <c r="P24" s="175"/>
      <c r="Q24" s="171">
        <f>IF(T&gt;0,Abschirmungen!C32,"-")</f>
        <v>40.299999999999997</v>
      </c>
      <c r="R24" s="176">
        <f>Abschirmungen!D32</f>
        <v>3.9632470977677543</v>
      </c>
      <c r="S24" s="177">
        <f t="shared" si="9"/>
        <v>0.95041896828962924</v>
      </c>
    </row>
    <row r="25" spans="1:39" s="51" customFormat="1" ht="15.95" customHeight="1" x14ac:dyDescent="0.2">
      <c r="A25" s="164" t="s">
        <v>53</v>
      </c>
      <c r="B25" s="164" t="s">
        <v>51</v>
      </c>
      <c r="C25" s="165">
        <v>3.69</v>
      </c>
      <c r="D25" s="166">
        <v>1</v>
      </c>
      <c r="E25" s="167">
        <f t="shared" si="0"/>
        <v>4.593826426069139</v>
      </c>
      <c r="F25" s="168">
        <v>1</v>
      </c>
      <c r="G25" s="168">
        <v>0.5</v>
      </c>
      <c r="H25" s="169">
        <f t="shared" si="1"/>
        <v>0.01</v>
      </c>
      <c r="I25" s="170">
        <f t="shared" si="2"/>
        <v>0.01</v>
      </c>
      <c r="J25" s="169">
        <f t="shared" si="3"/>
        <v>0.25</v>
      </c>
      <c r="K25" s="166">
        <f t="shared" si="4"/>
        <v>0.25</v>
      </c>
      <c r="L25" s="171">
        <f t="shared" si="5"/>
        <v>2203.2740652609777</v>
      </c>
      <c r="M25" s="172">
        <f t="shared" si="6"/>
        <v>2.085</v>
      </c>
      <c r="N25" s="173">
        <f>IF(T&gt;0,DLo/K25*1000,"-")</f>
        <v>18375.305704276558</v>
      </c>
      <c r="O25" s="174">
        <f t="shared" si="8"/>
        <v>0.25</v>
      </c>
      <c r="P25" s="175"/>
      <c r="Q25" s="171">
        <f>IF(T&gt;0,Abschirmungen!C33,"-")</f>
        <v>13004.81</v>
      </c>
      <c r="R25" s="176">
        <f>Abschirmungen!D33</f>
        <v>0.35324056453490205</v>
      </c>
      <c r="S25" s="177">
        <f t="shared" si="9"/>
        <v>8.4709967514364992E-2</v>
      </c>
    </row>
    <row r="26" spans="1:39" ht="15.95" customHeight="1" x14ac:dyDescent="0.2">
      <c r="A26" s="107" t="s">
        <v>7</v>
      </c>
      <c r="B26" s="108" t="s">
        <v>88</v>
      </c>
      <c r="C26" s="160">
        <v>2.95</v>
      </c>
      <c r="D26" s="109">
        <v>1</v>
      </c>
      <c r="E26" s="110">
        <f t="shared" si="0"/>
        <v>7.1875897730537206</v>
      </c>
      <c r="F26" s="119">
        <v>1</v>
      </c>
      <c r="G26" s="120">
        <v>1</v>
      </c>
      <c r="H26" s="121">
        <f t="shared" si="1"/>
        <v>0.02</v>
      </c>
      <c r="I26" s="122">
        <f t="shared" si="2"/>
        <v>0.02</v>
      </c>
      <c r="J26" s="123">
        <f t="shared" si="3"/>
        <v>0.5</v>
      </c>
      <c r="K26" s="111">
        <f t="shared" si="4"/>
        <v>0.5</v>
      </c>
      <c r="L26" s="147">
        <f t="shared" si="5"/>
        <v>1723.6426314277505</v>
      </c>
      <c r="M26" s="124">
        <f t="shared" si="6"/>
        <v>4.17</v>
      </c>
      <c r="N26" s="145">
        <f t="shared" si="7"/>
        <v>14375.179546107442</v>
      </c>
      <c r="O26" s="125">
        <f t="shared" si="8"/>
        <v>0.5</v>
      </c>
      <c r="P26" s="137"/>
      <c r="Q26" s="143">
        <f>IF(T&gt;0,Abschirmungen!C34,"-")</f>
        <v>5077</v>
      </c>
      <c r="R26" s="133">
        <f>Abschirmungen!D34</f>
        <v>1.4157159292995314</v>
      </c>
      <c r="S26" s="162">
        <f t="shared" si="9"/>
        <v>0.33950022285360459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ht="15.95" customHeight="1" x14ac:dyDescent="0.2">
      <c r="A27" s="107" t="s">
        <v>8</v>
      </c>
      <c r="B27" s="108" t="s">
        <v>87</v>
      </c>
      <c r="C27" s="160">
        <v>5.45</v>
      </c>
      <c r="D27" s="109">
        <v>1</v>
      </c>
      <c r="E27" s="110">
        <f t="shared" si="0"/>
        <v>2.1058833431529336</v>
      </c>
      <c r="F27" s="119">
        <v>1</v>
      </c>
      <c r="G27" s="120">
        <v>1</v>
      </c>
      <c r="H27" s="121">
        <f t="shared" si="1"/>
        <v>0.02</v>
      </c>
      <c r="I27" s="122">
        <f t="shared" si="2"/>
        <v>0.02</v>
      </c>
      <c r="J27" s="123">
        <f t="shared" si="3"/>
        <v>0.5</v>
      </c>
      <c r="K27" s="111">
        <f t="shared" si="4"/>
        <v>0.5</v>
      </c>
      <c r="L27" s="147">
        <f>IF(T&gt;0,DLo*Zeit/I27,1)</f>
        <v>505.00799595993601</v>
      </c>
      <c r="M27" s="124">
        <f t="shared" si="6"/>
        <v>4.1700000000000008</v>
      </c>
      <c r="N27" s="145">
        <f>IF(T&gt;0,DLo/K27*1000,"-")</f>
        <v>4211.7666863058676</v>
      </c>
      <c r="O27" s="125">
        <f t="shared" si="8"/>
        <v>0.49999999999999989</v>
      </c>
      <c r="P27" s="137"/>
      <c r="Q27" s="143">
        <f>IF(T&gt;0,Abschirmungen!C35,"-")</f>
        <v>5077</v>
      </c>
      <c r="R27" s="133">
        <f>Abschirmungen!D35</f>
        <v>0.41478891927377071</v>
      </c>
      <c r="S27" s="162">
        <f t="shared" si="9"/>
        <v>9.9469764813853889E-2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9" ht="15.95" customHeight="1" x14ac:dyDescent="0.2">
      <c r="A28" s="107" t="s">
        <v>9</v>
      </c>
      <c r="B28" s="108" t="s">
        <v>67</v>
      </c>
      <c r="C28" s="160">
        <v>3.53</v>
      </c>
      <c r="D28" s="109">
        <v>1</v>
      </c>
      <c r="E28" s="110">
        <f t="shared" si="0"/>
        <v>5.0197016266882821</v>
      </c>
      <c r="F28" s="119">
        <v>1</v>
      </c>
      <c r="G28" s="120">
        <v>1</v>
      </c>
      <c r="H28" s="121">
        <f t="shared" si="1"/>
        <v>0.02</v>
      </c>
      <c r="I28" s="122">
        <f t="shared" si="2"/>
        <v>0.02</v>
      </c>
      <c r="J28" s="123">
        <f t="shared" si="3"/>
        <v>0.5</v>
      </c>
      <c r="K28" s="111">
        <f t="shared" si="4"/>
        <v>0.5</v>
      </c>
      <c r="L28" s="147">
        <f t="shared" si="5"/>
        <v>1203.7653781027054</v>
      </c>
      <c r="M28" s="124">
        <f t="shared" si="6"/>
        <v>4.17</v>
      </c>
      <c r="N28" s="145">
        <f t="shared" si="7"/>
        <v>10039.403253376564</v>
      </c>
      <c r="O28" s="125">
        <f t="shared" si="8"/>
        <v>0.5</v>
      </c>
      <c r="P28" s="137"/>
      <c r="Q28" s="143">
        <f>IF(T&gt;0,Abschirmungen!C36,"-")</f>
        <v>3004.07</v>
      </c>
      <c r="R28" s="133">
        <f>Abschirmungen!D36</f>
        <v>1.6709669304271477</v>
      </c>
      <c r="S28" s="162">
        <f t="shared" si="9"/>
        <v>0.40071149410722962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9" ht="15.95" customHeight="1" x14ac:dyDescent="0.2">
      <c r="A29" s="107" t="s">
        <v>10</v>
      </c>
      <c r="B29" s="108" t="s">
        <v>66</v>
      </c>
      <c r="C29" s="160">
        <v>0</v>
      </c>
      <c r="D29" s="109">
        <v>1</v>
      </c>
      <c r="E29" s="110" t="str">
        <f t="shared" si="0"/>
        <v/>
      </c>
      <c r="F29" s="119">
        <v>0</v>
      </c>
      <c r="G29" s="120">
        <v>1</v>
      </c>
      <c r="H29" s="121">
        <f t="shared" si="1"/>
        <v>0.02</v>
      </c>
      <c r="I29" s="122" t="str">
        <f t="shared" si="2"/>
        <v>-</v>
      </c>
      <c r="J29" s="123" t="str">
        <f t="shared" si="3"/>
        <v>-</v>
      </c>
      <c r="K29" s="111" t="str">
        <f t="shared" si="4"/>
        <v>-</v>
      </c>
      <c r="L29" s="147">
        <f t="shared" si="5"/>
        <v>1</v>
      </c>
      <c r="M29" s="124" t="str">
        <f t="shared" si="6"/>
        <v>-</v>
      </c>
      <c r="N29" s="145" t="str">
        <f t="shared" si="7"/>
        <v>-</v>
      </c>
      <c r="O29" s="125" t="str">
        <f t="shared" si="8"/>
        <v>-</v>
      </c>
      <c r="P29" s="137"/>
      <c r="Q29" s="143" t="str">
        <f>IF(T&gt;0,Abschirmungen!C37,"-")</f>
        <v>-</v>
      </c>
      <c r="R29" s="133" t="str">
        <f>Abschirmungen!D37</f>
        <v/>
      </c>
      <c r="S29" s="162" t="str">
        <f t="shared" si="9"/>
        <v>-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2">
      <c r="B30" s="3"/>
      <c r="L30" s="1"/>
      <c r="M30" s="6"/>
      <c r="AK30" s="1"/>
      <c r="AL30" s="7"/>
    </row>
    <row r="31" spans="1:39" x14ac:dyDescent="0.2">
      <c r="B31" s="3"/>
      <c r="L31" s="1"/>
      <c r="M31" s="6"/>
      <c r="AK31" s="1"/>
      <c r="AL31" s="7"/>
    </row>
    <row r="32" spans="1:39" x14ac:dyDescent="0.2">
      <c r="A32"/>
      <c r="L32" s="1"/>
      <c r="N32" s="6"/>
      <c r="AK32" s="1"/>
      <c r="AL32" s="1"/>
      <c r="AM32" s="7"/>
    </row>
    <row r="33" spans="1:38" x14ac:dyDescent="0.2">
      <c r="A33"/>
      <c r="AJ33" s="7"/>
      <c r="AK33"/>
    </row>
    <row r="34" spans="1:38" x14ac:dyDescent="0.2">
      <c r="A34"/>
      <c r="AJ34" s="7"/>
      <c r="AK34"/>
    </row>
    <row r="35" spans="1:38" x14ac:dyDescent="0.2">
      <c r="A35"/>
      <c r="AJ35" s="7"/>
      <c r="AK35"/>
    </row>
    <row r="36" spans="1:38" x14ac:dyDescent="0.2">
      <c r="A36"/>
      <c r="L36" s="1"/>
      <c r="N36" s="6"/>
      <c r="AK36" s="1"/>
      <c r="AL36" s="7"/>
    </row>
    <row r="37" spans="1:38" x14ac:dyDescent="0.2">
      <c r="A37"/>
      <c r="L37" s="1"/>
      <c r="N37" s="6"/>
      <c r="AK37" s="1"/>
      <c r="AL37" s="7"/>
    </row>
    <row r="38" spans="1:38" x14ac:dyDescent="0.2">
      <c r="A38"/>
      <c r="L38" s="1"/>
      <c r="N38" s="6"/>
      <c r="AK38" s="1"/>
      <c r="AL38" s="7"/>
    </row>
    <row r="39" spans="1:38" x14ac:dyDescent="0.2">
      <c r="A39"/>
      <c r="L39" s="1"/>
      <c r="N39" s="6"/>
      <c r="AK39" s="1"/>
      <c r="AL39" s="7"/>
    </row>
    <row r="40" spans="1:38" x14ac:dyDescent="0.2">
      <c r="A40"/>
      <c r="L40" s="1"/>
      <c r="N40" s="6"/>
      <c r="AK40" s="1"/>
      <c r="AL40" s="7"/>
    </row>
    <row r="41" spans="1:38" x14ac:dyDescent="0.2">
      <c r="A41"/>
      <c r="L41" s="1"/>
      <c r="N41" s="6"/>
      <c r="AK41" s="1"/>
      <c r="AL41" s="7"/>
    </row>
    <row r="42" spans="1:38" x14ac:dyDescent="0.2">
      <c r="A42"/>
      <c r="L42" s="1"/>
      <c r="N42" s="6"/>
      <c r="AK42" s="1"/>
      <c r="AL42" s="7"/>
    </row>
    <row r="43" spans="1:38" x14ac:dyDescent="0.2">
      <c r="AJ43" s="7"/>
      <c r="AK43"/>
    </row>
    <row r="44" spans="1:38" x14ac:dyDescent="0.2">
      <c r="AJ44" s="7"/>
      <c r="AK44"/>
    </row>
    <row r="45" spans="1:38" x14ac:dyDescent="0.2">
      <c r="AJ45" s="7"/>
      <c r="AK45"/>
    </row>
    <row r="46" spans="1:38" x14ac:dyDescent="0.2">
      <c r="AJ46" s="7"/>
      <c r="AK46"/>
    </row>
    <row r="47" spans="1:38" x14ac:dyDescent="0.2">
      <c r="AJ47" s="7"/>
      <c r="AK47"/>
    </row>
    <row r="48" spans="1:38" x14ac:dyDescent="0.2">
      <c r="AJ48" s="7"/>
      <c r="AK48"/>
    </row>
    <row r="49" spans="11:37" x14ac:dyDescent="0.2">
      <c r="K49" s="6"/>
      <c r="L49" s="1"/>
      <c r="AJ49" s="7"/>
      <c r="AK49"/>
    </row>
  </sheetData>
  <sheetProtection password="DA3B" sheet="1" objects="1" scenarios="1"/>
  <mergeCells count="14">
    <mergeCell ref="H16:I16"/>
    <mergeCell ref="J16:K16"/>
    <mergeCell ref="L16:M16"/>
    <mergeCell ref="N16:O16"/>
    <mergeCell ref="L15:O15"/>
    <mergeCell ref="B9:D9"/>
    <mergeCell ref="B11:D11"/>
    <mergeCell ref="B3:D3"/>
    <mergeCell ref="B7:D7"/>
    <mergeCell ref="B6:D6"/>
    <mergeCell ref="B8:D8"/>
    <mergeCell ref="A1:S1"/>
    <mergeCell ref="G15:K15"/>
    <mergeCell ref="Q15:S15"/>
  </mergeCells>
  <phoneticPr fontId="0" type="noConversion"/>
  <pageMargins left="0.78740157480314965" right="1.1811023622047245" top="0.98425196850393704" bottom="0.98425196850393704" header="0.51181102362204722" footer="0.51181102362204722"/>
  <pageSetup paperSize="9" scale="7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E632-664A-4B73-B2B7-AA29CE2194DA}">
  <sheetPr>
    <pageSetUpPr fitToPage="1"/>
  </sheetPr>
  <dimension ref="A1:V37"/>
  <sheetViews>
    <sheetView topLeftCell="A7" zoomScale="85" workbookViewId="0">
      <selection activeCell="G34" sqref="G34"/>
    </sheetView>
  </sheetViews>
  <sheetFormatPr baseColWidth="10" defaultRowHeight="12.75" x14ac:dyDescent="0.2"/>
  <cols>
    <col min="2" max="2" width="15.28515625" customWidth="1"/>
    <col min="3" max="3" width="9.7109375" customWidth="1"/>
    <col min="4" max="4" width="12.42578125" customWidth="1"/>
    <col min="5" max="5" width="9" style="8" customWidth="1"/>
    <col min="6" max="6" width="7.42578125" style="8" customWidth="1"/>
    <col min="7" max="7" width="4.7109375" customWidth="1"/>
    <col min="8" max="8" width="8.28515625" customWidth="1"/>
    <col min="9" max="9" width="5.5703125" customWidth="1"/>
    <col min="10" max="10" width="8.28515625" customWidth="1"/>
    <col min="11" max="11" width="6.85546875" customWidth="1"/>
    <col min="12" max="12" width="8.28515625" customWidth="1"/>
    <col min="13" max="13" width="4.7109375" customWidth="1"/>
    <col min="14" max="14" width="8.28515625" customWidth="1"/>
    <col min="15" max="15" width="7" customWidth="1"/>
    <col min="16" max="16" width="8.28515625" customWidth="1"/>
    <col min="17" max="17" width="4.7109375" customWidth="1"/>
    <col min="18" max="18" width="8.28515625" customWidth="1"/>
    <col min="19" max="19" width="4.7109375" customWidth="1"/>
    <col min="20" max="20" width="8.28515625" customWidth="1"/>
    <col min="21" max="21" width="4.7109375" customWidth="1"/>
    <col min="22" max="22" width="8.28515625" customWidth="1"/>
  </cols>
  <sheetData>
    <row r="1" spans="1:21" ht="69.75" customHeight="1" x14ac:dyDescent="0.2"/>
    <row r="3" spans="1:21" s="60" customFormat="1" ht="26.25" x14ac:dyDescent="0.4">
      <c r="A3" s="59" t="s">
        <v>70</v>
      </c>
      <c r="E3" s="61"/>
      <c r="F3" s="61"/>
    </row>
    <row r="4" spans="1:21" ht="18" x14ac:dyDescent="0.25">
      <c r="A4" s="234" t="s">
        <v>69</v>
      </c>
      <c r="B4" s="234"/>
      <c r="C4" s="63"/>
      <c r="D4" s="63"/>
      <c r="E4" s="64"/>
      <c r="F4" s="233" t="s">
        <v>41</v>
      </c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21" x14ac:dyDescent="0.2">
      <c r="A5" s="234"/>
      <c r="B5" s="234"/>
      <c r="C5" s="63"/>
      <c r="D5" s="63"/>
      <c r="E5" s="64"/>
      <c r="F5" s="229" t="s">
        <v>10</v>
      </c>
      <c r="G5" s="230"/>
      <c r="H5" s="229" t="s">
        <v>13</v>
      </c>
      <c r="I5" s="230"/>
      <c r="J5" s="229" t="s">
        <v>14</v>
      </c>
      <c r="K5" s="230"/>
      <c r="L5" s="229" t="s">
        <v>15</v>
      </c>
      <c r="M5" s="230"/>
      <c r="N5" s="229" t="s">
        <v>16</v>
      </c>
      <c r="O5" s="230"/>
      <c r="P5" s="229" t="s">
        <v>17</v>
      </c>
      <c r="Q5" s="230"/>
      <c r="R5" s="229" t="s">
        <v>18</v>
      </c>
      <c r="S5" s="230"/>
      <c r="T5" s="229" t="s">
        <v>19</v>
      </c>
      <c r="U5" s="230"/>
    </row>
    <row r="6" spans="1:21" s="2" customFormat="1" x14ac:dyDescent="0.2">
      <c r="A6" s="234"/>
      <c r="B6" s="234"/>
      <c r="C6" s="66"/>
      <c r="D6" s="67" t="s">
        <v>23</v>
      </c>
      <c r="E6" s="68" t="s">
        <v>73</v>
      </c>
      <c r="F6" s="231" t="s">
        <v>11</v>
      </c>
      <c r="G6" s="232"/>
      <c r="H6" s="231" t="s">
        <v>12</v>
      </c>
      <c r="I6" s="232"/>
      <c r="J6" s="231" t="s">
        <v>12</v>
      </c>
      <c r="K6" s="232"/>
      <c r="L6" s="231" t="s">
        <v>12</v>
      </c>
      <c r="M6" s="232"/>
      <c r="N6" s="231" t="s">
        <v>12</v>
      </c>
      <c r="O6" s="232"/>
      <c r="P6" s="231" t="s">
        <v>21</v>
      </c>
      <c r="Q6" s="232"/>
      <c r="R6" s="231" t="s">
        <v>21</v>
      </c>
      <c r="S6" s="232"/>
      <c r="T6" s="231" t="s">
        <v>20</v>
      </c>
      <c r="U6" s="232"/>
    </row>
    <row r="7" spans="1:21" x14ac:dyDescent="0.2">
      <c r="A7" s="234"/>
      <c r="B7" s="234"/>
      <c r="C7" s="63" t="s">
        <v>65</v>
      </c>
      <c r="D7" s="57" t="s">
        <v>35</v>
      </c>
      <c r="E7" s="62" t="str">
        <f>IF(Basis!L17&gt;C7,"Verst.",Basis!L17)</f>
        <v>FNw</v>
      </c>
      <c r="F7" s="227">
        <v>11</v>
      </c>
      <c r="G7" s="228"/>
      <c r="H7" s="225">
        <v>3.7</v>
      </c>
      <c r="I7" s="226"/>
      <c r="J7" s="225">
        <v>3.5</v>
      </c>
      <c r="K7" s="226"/>
      <c r="L7" s="227">
        <v>3</v>
      </c>
      <c r="M7" s="228"/>
      <c r="N7" s="225">
        <v>3.2</v>
      </c>
      <c r="O7" s="226"/>
      <c r="P7" s="225">
        <v>2.2999999999999998</v>
      </c>
      <c r="Q7" s="226"/>
      <c r="R7" s="227">
        <v>2</v>
      </c>
      <c r="S7" s="228"/>
      <c r="T7" s="225">
        <v>1.8</v>
      </c>
      <c r="U7" s="226"/>
    </row>
    <row r="8" spans="1:21" ht="13.5" thickBot="1" x14ac:dyDescent="0.25">
      <c r="A8" s="235"/>
      <c r="B8" s="235"/>
      <c r="C8" s="33" t="s">
        <v>26</v>
      </c>
      <c r="D8" s="178" t="str">
        <f>Basis!R16</f>
        <v>450 GBq</v>
      </c>
      <c r="E8" s="70" t="s">
        <v>71</v>
      </c>
      <c r="F8" s="9" t="s">
        <v>25</v>
      </c>
      <c r="G8" s="24" t="s">
        <v>26</v>
      </c>
      <c r="H8" s="11" t="s">
        <v>25</v>
      </c>
      <c r="I8" s="28" t="s">
        <v>26</v>
      </c>
      <c r="J8" s="11" t="s">
        <v>25</v>
      </c>
      <c r="K8" s="28" t="s">
        <v>26</v>
      </c>
      <c r="L8" s="11" t="s">
        <v>25</v>
      </c>
      <c r="M8" s="28" t="s">
        <v>26</v>
      </c>
      <c r="N8" s="11" t="s">
        <v>25</v>
      </c>
      <c r="O8" s="28" t="s">
        <v>26</v>
      </c>
      <c r="P8" s="11" t="s">
        <v>25</v>
      </c>
      <c r="Q8" s="28" t="s">
        <v>26</v>
      </c>
      <c r="R8" s="11" t="s">
        <v>25</v>
      </c>
      <c r="S8" s="28" t="s">
        <v>26</v>
      </c>
      <c r="T8" s="11" t="s">
        <v>25</v>
      </c>
      <c r="U8" s="28" t="s">
        <v>26</v>
      </c>
    </row>
    <row r="9" spans="1:21" ht="25.5" customHeight="1" x14ac:dyDescent="0.2">
      <c r="A9" s="14" t="str">
        <f>Basis!A19</f>
        <v>A</v>
      </c>
      <c r="B9" s="47" t="str">
        <f>Basis!B19</f>
        <v>Rückwand
(Flur)</v>
      </c>
      <c r="C9" s="150">
        <f>G9*I9*K9*M9*O9*Q9*S9*U9</f>
        <v>14.2</v>
      </c>
      <c r="D9" s="152">
        <f>IF(Basis!E19&lt;&gt;"",Basis!E19*1000/C9,"")</f>
        <v>910.10941683156784</v>
      </c>
      <c r="E9" s="62" t="str">
        <f>IF(Basis!L19&gt;C9,"Verst.",Basis!L19)</f>
        <v>Verst.</v>
      </c>
      <c r="F9" s="10"/>
      <c r="G9" s="27">
        <v>1</v>
      </c>
      <c r="H9" s="50"/>
      <c r="I9" s="49">
        <v>1</v>
      </c>
      <c r="J9" s="10"/>
      <c r="K9" s="27">
        <v>1</v>
      </c>
      <c r="L9" s="10"/>
      <c r="M9" s="27">
        <v>1</v>
      </c>
      <c r="N9" s="10"/>
      <c r="O9" s="27">
        <v>1</v>
      </c>
      <c r="P9" s="10">
        <v>25</v>
      </c>
      <c r="Q9" s="27">
        <v>14.2</v>
      </c>
      <c r="R9" s="10"/>
      <c r="S9" s="27">
        <v>1</v>
      </c>
      <c r="T9" s="10"/>
      <c r="U9" s="27">
        <v>1</v>
      </c>
    </row>
    <row r="10" spans="1:21" x14ac:dyDescent="0.2">
      <c r="A10" s="14" t="str">
        <f>Basis!A20</f>
        <v>B</v>
      </c>
      <c r="B10" s="47" t="str">
        <f>Basis!B20</f>
        <v>Frontwand</v>
      </c>
      <c r="C10" s="150">
        <f>G10*I10*K10*M10*O10*Q10*S10*U10</f>
        <v>1</v>
      </c>
      <c r="D10" s="152">
        <f>IF(Basis!E20&lt;&gt;"",Basis!E20*1000/C10,"")</f>
        <v>14883.997620464012</v>
      </c>
      <c r="E10" s="62" t="str">
        <f>IF(Basis!L20&gt;C10,"Verst.",Basis!L20)</f>
        <v>Verst.</v>
      </c>
      <c r="F10" s="10"/>
      <c r="G10" s="27">
        <v>1</v>
      </c>
      <c r="H10" s="50"/>
      <c r="I10" s="49">
        <v>1</v>
      </c>
      <c r="J10" s="10"/>
      <c r="K10" s="27">
        <v>1</v>
      </c>
      <c r="L10" s="10"/>
      <c r="M10" s="27">
        <v>1</v>
      </c>
      <c r="N10" s="10"/>
      <c r="O10" s="27">
        <v>1</v>
      </c>
      <c r="P10" s="10"/>
      <c r="Q10" s="27">
        <v>1</v>
      </c>
      <c r="R10" s="10"/>
      <c r="S10" s="27">
        <v>1</v>
      </c>
      <c r="T10" s="10"/>
      <c r="U10" s="27">
        <v>1</v>
      </c>
    </row>
    <row r="11" spans="1:21" x14ac:dyDescent="0.2">
      <c r="A11" s="14" t="str">
        <f>Basis!A21</f>
        <v>C</v>
      </c>
      <c r="B11" s="47" t="str">
        <f>Basis!B21</f>
        <v>rechts</v>
      </c>
      <c r="C11" s="150">
        <f>G11*I11*K11*M11*O11*Q11*S11*U11</f>
        <v>1</v>
      </c>
      <c r="D11" s="152">
        <f>IF(Basis!E21&lt;&gt;"",Basis!E21*1000/C11,"")</f>
        <v>3545.9183673469388</v>
      </c>
      <c r="E11" s="62" t="str">
        <f>IF(Basis!L21&gt;C11,"Verst.",Basis!L21)</f>
        <v>Verst.</v>
      </c>
      <c r="F11" s="10"/>
      <c r="G11" s="27">
        <v>1</v>
      </c>
      <c r="H11" s="50"/>
      <c r="I11" s="49">
        <v>1</v>
      </c>
      <c r="J11" s="10"/>
      <c r="K11" s="27">
        <v>1</v>
      </c>
      <c r="L11" s="10"/>
      <c r="M11" s="27">
        <v>1</v>
      </c>
      <c r="N11" s="10"/>
      <c r="O11" s="27">
        <v>1</v>
      </c>
      <c r="P11" s="10"/>
      <c r="Q11" s="27">
        <v>1</v>
      </c>
      <c r="R11" s="10"/>
      <c r="S11" s="27">
        <v>1</v>
      </c>
      <c r="T11" s="10"/>
      <c r="U11" s="27">
        <v>1</v>
      </c>
    </row>
    <row r="12" spans="1:21" x14ac:dyDescent="0.2">
      <c r="A12" s="14" t="str">
        <f>Basis!A22</f>
        <v>D</v>
      </c>
      <c r="B12" s="47" t="str">
        <f>Basis!B22</f>
        <v>links</v>
      </c>
      <c r="C12" s="150">
        <f>G12*I12*K12*M12*O12*Q12*S12*U12</f>
        <v>1</v>
      </c>
      <c r="D12" s="152">
        <f>IF(Basis!E22&lt;&gt;"",Basis!E22*1000/C12,"")</f>
        <v>12923.553719008263</v>
      </c>
      <c r="E12" s="62" t="str">
        <f>IF(Basis!L22&gt;C12,"Verst.",Basis!L22)</f>
        <v>Verst.</v>
      </c>
      <c r="F12" s="10"/>
      <c r="G12" s="27">
        <v>1</v>
      </c>
      <c r="H12" s="50"/>
      <c r="I12" s="49">
        <v>1</v>
      </c>
      <c r="J12" s="10"/>
      <c r="K12" s="29">
        <v>1</v>
      </c>
      <c r="L12" s="10"/>
      <c r="M12" s="27">
        <v>1</v>
      </c>
      <c r="N12" s="10"/>
      <c r="O12" s="27">
        <v>1</v>
      </c>
      <c r="P12" s="10"/>
      <c r="Q12" s="27">
        <v>1</v>
      </c>
      <c r="R12" s="10"/>
      <c r="S12" s="27">
        <v>1</v>
      </c>
      <c r="T12" s="10"/>
      <c r="U12" s="27">
        <v>1</v>
      </c>
    </row>
    <row r="13" spans="1:21" s="8" customFormat="1" ht="24.75" customHeight="1" x14ac:dyDescent="0.2">
      <c r="A13" s="71" t="str">
        <f>Basis!A23</f>
        <v>E</v>
      </c>
      <c r="B13" s="72" t="str">
        <f>Basis!B23</f>
        <v>Tür</v>
      </c>
      <c r="C13" s="151">
        <f>C14*C15</f>
        <v>1</v>
      </c>
      <c r="D13" s="153">
        <f>SUM(D14:D15)</f>
        <v>4753.5452841091801</v>
      </c>
      <c r="E13" s="74" t="s">
        <v>74</v>
      </c>
      <c r="F13" s="75" t="s">
        <v>74</v>
      </c>
      <c r="G13" s="76" t="s">
        <v>74</v>
      </c>
      <c r="H13" s="77" t="s">
        <v>74</v>
      </c>
      <c r="I13" s="78" t="s">
        <v>74</v>
      </c>
      <c r="J13" s="75" t="s">
        <v>74</v>
      </c>
      <c r="K13" s="79" t="s">
        <v>74</v>
      </c>
      <c r="L13" s="75" t="s">
        <v>74</v>
      </c>
      <c r="M13" s="76" t="s">
        <v>74</v>
      </c>
      <c r="N13" s="75" t="s">
        <v>74</v>
      </c>
      <c r="O13" s="76" t="s">
        <v>74</v>
      </c>
      <c r="P13" s="75" t="s">
        <v>74</v>
      </c>
      <c r="Q13" s="76" t="s">
        <v>74</v>
      </c>
      <c r="R13" s="75" t="s">
        <v>74</v>
      </c>
      <c r="S13" s="76" t="s">
        <v>74</v>
      </c>
      <c r="T13" s="75" t="s">
        <v>74</v>
      </c>
      <c r="U13" s="76" t="s">
        <v>74</v>
      </c>
    </row>
    <row r="14" spans="1:21" s="80" customFormat="1" ht="11.25" x14ac:dyDescent="0.2">
      <c r="A14" s="179" t="str">
        <f>Basis!A24</f>
        <v>e1</v>
      </c>
      <c r="B14" s="179" t="str">
        <f>Basis!B24</f>
        <v>Streu</v>
      </c>
      <c r="C14" s="180">
        <f t="shared" ref="C14:C19" si="0">G14*I14*K14*M14*O14*Q14*S14*U14</f>
        <v>1</v>
      </c>
      <c r="D14" s="181">
        <f>IF(Basis!E24&lt;&gt;"",Basis!E24*1000/C14,"")</f>
        <v>159.71885804004049</v>
      </c>
      <c r="E14" s="182" t="str">
        <f>IF(Basis!L24&gt;C14,"Verst.",Basis!L24)</f>
        <v>Verst.</v>
      </c>
      <c r="F14" s="183"/>
      <c r="G14" s="184">
        <v>1</v>
      </c>
      <c r="H14" s="185"/>
      <c r="I14" s="186">
        <v>1</v>
      </c>
      <c r="J14" s="183"/>
      <c r="K14" s="184">
        <v>1</v>
      </c>
      <c r="L14" s="183"/>
      <c r="M14" s="184">
        <v>1</v>
      </c>
      <c r="N14" s="183"/>
      <c r="O14" s="184">
        <v>1</v>
      </c>
      <c r="P14" s="183"/>
      <c r="Q14" s="184">
        <v>1</v>
      </c>
      <c r="R14" s="183"/>
      <c r="S14" s="184">
        <v>1</v>
      </c>
      <c r="T14" s="183"/>
      <c r="U14" s="184">
        <v>1</v>
      </c>
    </row>
    <row r="15" spans="1:21" s="80" customFormat="1" ht="13.5" customHeight="1" x14ac:dyDescent="0.2">
      <c r="A15" s="179" t="str">
        <f>Basis!A25</f>
        <v>e2</v>
      </c>
      <c r="B15" s="179" t="str">
        <f>Basis!B25</f>
        <v>direkt</v>
      </c>
      <c r="C15" s="180">
        <f t="shared" si="0"/>
        <v>1</v>
      </c>
      <c r="D15" s="181">
        <f>IF(Basis!E25&lt;&gt;"",Basis!E25*1000/C15,"")</f>
        <v>4593.8264260691394</v>
      </c>
      <c r="E15" s="182" t="str">
        <f>IF(Basis!L25&gt;C15,"Verst.",Basis!L25)</f>
        <v>Verst.</v>
      </c>
      <c r="F15" s="183"/>
      <c r="G15" s="184">
        <v>1</v>
      </c>
      <c r="H15" s="185"/>
      <c r="I15" s="186">
        <v>1</v>
      </c>
      <c r="J15" s="183"/>
      <c r="K15" s="184">
        <v>1</v>
      </c>
      <c r="L15" s="183"/>
      <c r="M15" s="184">
        <v>1</v>
      </c>
      <c r="N15" s="183"/>
      <c r="O15" s="184">
        <v>1</v>
      </c>
      <c r="P15" s="183"/>
      <c r="Q15" s="184">
        <v>1</v>
      </c>
      <c r="R15" s="183"/>
      <c r="S15" s="184">
        <v>1</v>
      </c>
      <c r="T15" s="183"/>
      <c r="U15" s="184">
        <v>1</v>
      </c>
    </row>
    <row r="16" spans="1:21" ht="26.25" customHeight="1" x14ac:dyDescent="0.2">
      <c r="A16" s="14" t="str">
        <f>Basis!A26</f>
        <v>F</v>
      </c>
      <c r="B16" s="47" t="str">
        <f>Basis!B26</f>
        <v>Schaltpult AL</v>
      </c>
      <c r="C16" s="150">
        <f t="shared" si="0"/>
        <v>1</v>
      </c>
      <c r="D16" s="154">
        <f>IF(Basis!E26&lt;&gt;"",Basis!E26*1000/C16,"")</f>
        <v>7187.5897730537208</v>
      </c>
      <c r="E16" s="62" t="str">
        <f>IF(Basis!L26&gt;C16,"Verst.",Basis!L26)</f>
        <v>Verst.</v>
      </c>
      <c r="F16" s="10"/>
      <c r="G16" s="27">
        <v>1</v>
      </c>
      <c r="H16" s="50"/>
      <c r="I16" s="49">
        <v>1</v>
      </c>
      <c r="J16" s="10"/>
      <c r="K16" s="27">
        <v>1</v>
      </c>
      <c r="L16" s="10"/>
      <c r="M16" s="27">
        <v>1</v>
      </c>
      <c r="N16" s="10"/>
      <c r="O16" s="27">
        <v>1</v>
      </c>
      <c r="P16" s="10"/>
      <c r="Q16" s="27">
        <v>1</v>
      </c>
      <c r="R16" s="10"/>
      <c r="S16" s="27">
        <v>1</v>
      </c>
      <c r="T16" s="10"/>
      <c r="U16" s="27">
        <v>1</v>
      </c>
    </row>
    <row r="17" spans="1:22" ht="15.75" customHeight="1" x14ac:dyDescent="0.2">
      <c r="A17" s="14" t="str">
        <f>Basis!A27</f>
        <v>G</v>
      </c>
      <c r="B17" s="47" t="str">
        <f>Basis!B27</f>
        <v>Schaltpult CT</v>
      </c>
      <c r="C17" s="150">
        <f t="shared" si="0"/>
        <v>1</v>
      </c>
      <c r="D17" s="154">
        <f>IF(Basis!E27&lt;&gt;"",Basis!E27*1000/C17,"")</f>
        <v>2105.8833431529338</v>
      </c>
      <c r="E17" s="62" t="str">
        <f>IF(Basis!L27&gt;C17,"Verst.",Basis!L27)</f>
        <v>Verst.</v>
      </c>
      <c r="F17" s="10"/>
      <c r="G17" s="27">
        <v>1</v>
      </c>
      <c r="H17" s="50"/>
      <c r="I17" s="49">
        <v>1</v>
      </c>
      <c r="J17" s="10"/>
      <c r="K17" s="27">
        <v>1</v>
      </c>
      <c r="L17" s="10"/>
      <c r="M17" s="27">
        <v>1</v>
      </c>
      <c r="N17" s="10"/>
      <c r="O17" s="27">
        <v>1</v>
      </c>
      <c r="P17" s="10"/>
      <c r="Q17" s="27">
        <v>1</v>
      </c>
      <c r="R17" s="10"/>
      <c r="S17" s="27">
        <v>1</v>
      </c>
      <c r="T17" s="10"/>
      <c r="U17" s="27">
        <v>1</v>
      </c>
    </row>
    <row r="18" spans="1:22" x14ac:dyDescent="0.2">
      <c r="A18" s="14" t="str">
        <f>Basis!A28</f>
        <v>H</v>
      </c>
      <c r="B18" s="47" t="str">
        <f>Basis!B28</f>
        <v>Decke</v>
      </c>
      <c r="C18" s="150">
        <f t="shared" si="0"/>
        <v>43.1</v>
      </c>
      <c r="D18" s="154">
        <f>IF(Basis!E28&lt;&gt;"",Basis!E28*1000/C18,"")</f>
        <v>116.46639505077221</v>
      </c>
      <c r="E18" s="62" t="str">
        <f>IF(Basis!L28&gt;C18,"Verst.",Basis!L28)</f>
        <v>Verst.</v>
      </c>
      <c r="F18" s="10"/>
      <c r="G18" s="27">
        <v>1</v>
      </c>
      <c r="H18" s="50"/>
      <c r="I18" s="49">
        <v>1</v>
      </c>
      <c r="J18" s="10"/>
      <c r="K18" s="27">
        <v>1</v>
      </c>
      <c r="L18" s="10"/>
      <c r="M18" s="27">
        <v>1</v>
      </c>
      <c r="N18" s="10"/>
      <c r="O18" s="27">
        <v>1</v>
      </c>
      <c r="P18" s="10">
        <v>32</v>
      </c>
      <c r="Q18" s="27">
        <v>43.1</v>
      </c>
      <c r="R18" s="10"/>
      <c r="S18" s="27">
        <v>1</v>
      </c>
      <c r="T18" s="10"/>
      <c r="U18" s="27">
        <v>1</v>
      </c>
    </row>
    <row r="19" spans="1:22" x14ac:dyDescent="0.2">
      <c r="A19" s="14" t="str">
        <f>Basis!A29</f>
        <v>I</v>
      </c>
      <c r="B19" s="47" t="str">
        <f>Basis!B29</f>
        <v>Boden</v>
      </c>
      <c r="C19" s="150">
        <f t="shared" si="0"/>
        <v>1</v>
      </c>
      <c r="D19" s="154" t="str">
        <f>IF(Basis!E29&lt;&gt;"",Basis!E29*1000/C19,"")</f>
        <v/>
      </c>
      <c r="E19" s="62">
        <f>IF(Basis!L29&gt;C19,"Verst.",Basis!L29)</f>
        <v>1</v>
      </c>
      <c r="F19" s="10"/>
      <c r="G19" s="27">
        <v>1</v>
      </c>
      <c r="H19" s="50"/>
      <c r="I19" s="49">
        <v>1</v>
      </c>
      <c r="J19" s="10"/>
      <c r="K19" s="27">
        <v>1</v>
      </c>
      <c r="L19" s="10"/>
      <c r="M19" s="27">
        <v>1</v>
      </c>
      <c r="N19" s="10"/>
      <c r="O19" s="27">
        <v>1</v>
      </c>
      <c r="P19" s="10"/>
      <c r="Q19" s="27">
        <v>1</v>
      </c>
      <c r="R19" s="10"/>
      <c r="S19" s="27">
        <v>1</v>
      </c>
      <c r="T19" s="10"/>
      <c r="U19" s="27">
        <v>1</v>
      </c>
    </row>
    <row r="20" spans="1:22" x14ac:dyDescent="0.2">
      <c r="A20" s="3"/>
      <c r="G20" s="1"/>
      <c r="H20" s="1"/>
      <c r="I20" s="1"/>
      <c r="J20" s="1"/>
      <c r="K20" s="1"/>
      <c r="L20" s="1"/>
      <c r="M20" s="1"/>
      <c r="N20" s="1"/>
      <c r="O20" s="1"/>
      <c r="P20" s="6"/>
      <c r="Q20" s="1"/>
      <c r="R20" s="1"/>
      <c r="S20" s="1"/>
      <c r="T20" s="1"/>
      <c r="U20" s="1"/>
      <c r="V20" s="1"/>
    </row>
    <row r="21" spans="1:22" s="25" customFormat="1" ht="18" x14ac:dyDescent="0.25">
      <c r="A21" s="26"/>
      <c r="E21" s="35"/>
      <c r="F21" s="35"/>
    </row>
    <row r="22" spans="1:22" ht="18" x14ac:dyDescent="0.25">
      <c r="A22" s="234" t="s">
        <v>68</v>
      </c>
      <c r="B22" s="234"/>
      <c r="C22" s="63"/>
      <c r="D22" s="63"/>
      <c r="E22" s="64"/>
      <c r="F22" s="233" t="s">
        <v>42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</row>
    <row r="23" spans="1:22" x14ac:dyDescent="0.2">
      <c r="A23" s="234"/>
      <c r="B23" s="234"/>
      <c r="C23" s="63"/>
      <c r="D23" s="63"/>
      <c r="E23" s="64"/>
      <c r="F23" s="229" t="s">
        <v>10</v>
      </c>
      <c r="G23" s="230"/>
      <c r="H23" s="229" t="s">
        <v>13</v>
      </c>
      <c r="I23" s="230"/>
      <c r="J23" s="229" t="s">
        <v>14</v>
      </c>
      <c r="K23" s="230"/>
      <c r="L23" s="229" t="s">
        <v>15</v>
      </c>
      <c r="M23" s="230"/>
      <c r="N23" s="229" t="s">
        <v>16</v>
      </c>
      <c r="O23" s="230"/>
      <c r="P23" s="229" t="s">
        <v>17</v>
      </c>
      <c r="Q23" s="230"/>
      <c r="R23" s="229" t="s">
        <v>18</v>
      </c>
      <c r="S23" s="230"/>
      <c r="T23" s="229" t="s">
        <v>19</v>
      </c>
      <c r="U23" s="230"/>
    </row>
    <row r="24" spans="1:22" x14ac:dyDescent="0.2">
      <c r="A24" s="234"/>
      <c r="B24" s="234"/>
      <c r="C24" s="30"/>
      <c r="D24" s="56" t="s">
        <v>23</v>
      </c>
      <c r="E24" s="68" t="s">
        <v>73</v>
      </c>
      <c r="F24" s="231" t="s">
        <v>11</v>
      </c>
      <c r="G24" s="232"/>
      <c r="H24" s="231" t="s">
        <v>12</v>
      </c>
      <c r="I24" s="232"/>
      <c r="J24" s="231" t="s">
        <v>12</v>
      </c>
      <c r="K24" s="232"/>
      <c r="L24" s="231" t="s">
        <v>12</v>
      </c>
      <c r="M24" s="232"/>
      <c r="N24" s="231" t="str">
        <f>N6</f>
        <v>Baryt</v>
      </c>
      <c r="O24" s="232"/>
      <c r="P24" s="231" t="s">
        <v>21</v>
      </c>
      <c r="Q24" s="232"/>
      <c r="R24" s="231" t="s">
        <v>21</v>
      </c>
      <c r="S24" s="232"/>
      <c r="T24" s="231" t="s">
        <v>20</v>
      </c>
      <c r="U24" s="232"/>
    </row>
    <row r="25" spans="1:22" x14ac:dyDescent="0.2">
      <c r="A25" s="234"/>
      <c r="B25" s="234"/>
      <c r="C25" s="31" t="s">
        <v>65</v>
      </c>
      <c r="D25" s="57" t="s">
        <v>35</v>
      </c>
      <c r="E25" s="65" t="str">
        <f>E7</f>
        <v>FNw</v>
      </c>
      <c r="F25" s="227">
        <v>11</v>
      </c>
      <c r="G25" s="228"/>
      <c r="H25" s="225">
        <v>3.7</v>
      </c>
      <c r="I25" s="226"/>
      <c r="J25" s="225">
        <v>3.5</v>
      </c>
      <c r="K25" s="226"/>
      <c r="L25" s="227">
        <v>3</v>
      </c>
      <c r="M25" s="228"/>
      <c r="N25" s="225">
        <v>3.2</v>
      </c>
      <c r="O25" s="226"/>
      <c r="P25" s="225">
        <v>2.2999999999999998</v>
      </c>
      <c r="Q25" s="226"/>
      <c r="R25" s="227">
        <v>2</v>
      </c>
      <c r="S25" s="228"/>
      <c r="T25" s="225">
        <v>1.8</v>
      </c>
      <c r="U25" s="226"/>
    </row>
    <row r="26" spans="1:22" ht="13.5" thickBot="1" x14ac:dyDescent="0.25">
      <c r="A26" s="235"/>
      <c r="B26" s="235"/>
      <c r="C26" s="32" t="s">
        <v>26</v>
      </c>
      <c r="D26" s="178" t="str">
        <f>Basis!R16</f>
        <v>450 GBq</v>
      </c>
      <c r="E26" s="69" t="s">
        <v>71</v>
      </c>
      <c r="F26" s="11" t="s">
        <v>25</v>
      </c>
      <c r="G26" s="28" t="s">
        <v>26</v>
      </c>
      <c r="H26" s="11" t="s">
        <v>25</v>
      </c>
      <c r="I26" s="28" t="s">
        <v>26</v>
      </c>
      <c r="J26" s="11" t="s">
        <v>25</v>
      </c>
      <c r="K26" s="28" t="s">
        <v>26</v>
      </c>
      <c r="L26" s="11" t="s">
        <v>25</v>
      </c>
      <c r="M26" s="28" t="s">
        <v>26</v>
      </c>
      <c r="N26" s="11" t="s">
        <v>25</v>
      </c>
      <c r="O26" s="28" t="s">
        <v>26</v>
      </c>
      <c r="P26" s="11" t="s">
        <v>25</v>
      </c>
      <c r="Q26" s="28" t="s">
        <v>26</v>
      </c>
      <c r="R26" s="11" t="s">
        <v>25</v>
      </c>
      <c r="S26" s="28" t="s">
        <v>26</v>
      </c>
      <c r="T26" s="11" t="s">
        <v>25</v>
      </c>
      <c r="U26" s="28" t="s">
        <v>26</v>
      </c>
    </row>
    <row r="27" spans="1:22" ht="27.75" customHeight="1" x14ac:dyDescent="0.2">
      <c r="A27" s="14" t="str">
        <f>Basis!A19</f>
        <v>A</v>
      </c>
      <c r="B27" s="58" t="str">
        <f>Basis!B19</f>
        <v>Rückwand
(Flur)</v>
      </c>
      <c r="C27" s="148">
        <f>G27*I27*K27*M27*O27*Q27*S27*U27</f>
        <v>4582.3399999999992</v>
      </c>
      <c r="D27" s="19">
        <f>IF(Basis!E19&lt;&gt;"",Basis!E19*1000/C27,"")</f>
        <v>2.8202956827752339</v>
      </c>
      <c r="E27" s="138">
        <f>Basis!L19/C27</f>
        <v>0.67632989994609916</v>
      </c>
      <c r="F27" s="48"/>
      <c r="G27" s="27">
        <v>1</v>
      </c>
      <c r="H27" s="10"/>
      <c r="I27" s="49">
        <v>1</v>
      </c>
      <c r="J27" s="10"/>
      <c r="K27" s="27">
        <v>1</v>
      </c>
      <c r="L27" s="10"/>
      <c r="M27" s="27">
        <v>1</v>
      </c>
      <c r="N27" s="10">
        <v>24</v>
      </c>
      <c r="O27" s="27">
        <v>322.7</v>
      </c>
      <c r="P27" s="10">
        <f t="shared" ref="P27:Q37" si="1">P9</f>
        <v>25</v>
      </c>
      <c r="Q27" s="27">
        <f t="shared" si="1"/>
        <v>14.2</v>
      </c>
      <c r="R27" s="10"/>
      <c r="S27" s="27">
        <v>1</v>
      </c>
      <c r="T27" s="10"/>
      <c r="U27" s="27">
        <v>1</v>
      </c>
    </row>
    <row r="28" spans="1:22" x14ac:dyDescent="0.2">
      <c r="A28" s="14" t="str">
        <f>Basis!A20</f>
        <v>B</v>
      </c>
      <c r="B28" s="58" t="str">
        <f>Basis!B20</f>
        <v>Frontwand</v>
      </c>
      <c r="C28" s="148">
        <f>G28*I28*K28*M28*O28*Q28*S28*U28</f>
        <v>5077</v>
      </c>
      <c r="D28" s="19">
        <f>IF(Basis!E20&lt;&gt;"",Basis!E20*1000/C28,"")</f>
        <v>2.9316520820295473</v>
      </c>
      <c r="E28" s="138">
        <f>Basis!L20/C28</f>
        <v>0.70303407242914806</v>
      </c>
      <c r="F28" s="48"/>
      <c r="G28" s="27">
        <v>1</v>
      </c>
      <c r="H28" s="10"/>
      <c r="I28" s="49">
        <v>1</v>
      </c>
      <c r="J28" s="10"/>
      <c r="K28" s="27">
        <v>1</v>
      </c>
      <c r="L28" s="10"/>
      <c r="M28" s="27">
        <v>1</v>
      </c>
      <c r="N28" s="10">
        <v>36</v>
      </c>
      <c r="O28" s="27">
        <v>5077</v>
      </c>
      <c r="P28" s="10">
        <f t="shared" si="1"/>
        <v>0</v>
      </c>
      <c r="Q28" s="27">
        <f t="shared" si="1"/>
        <v>1</v>
      </c>
      <c r="R28" s="10"/>
      <c r="S28" s="27">
        <v>1</v>
      </c>
      <c r="T28" s="10"/>
      <c r="U28" s="27">
        <v>1</v>
      </c>
    </row>
    <row r="29" spans="1:22" x14ac:dyDescent="0.2">
      <c r="A29" s="14" t="str">
        <f>Basis!A21</f>
        <v>C</v>
      </c>
      <c r="B29" s="58" t="str">
        <f>Basis!B21</f>
        <v>rechts</v>
      </c>
      <c r="C29" s="148">
        <f>G29*I29*K29*M29*O29*Q29*S29*U29</f>
        <v>5077</v>
      </c>
      <c r="D29" s="19">
        <f>IF(Basis!E21&lt;&gt;"",Basis!E21*1000/C29,"")</f>
        <v>0.69842788405494161</v>
      </c>
      <c r="E29" s="138">
        <f>Basis!L21/C29</f>
        <v>0.16748870121221621</v>
      </c>
      <c r="F29" s="48"/>
      <c r="G29" s="27">
        <v>1</v>
      </c>
      <c r="H29" s="10"/>
      <c r="I29" s="49">
        <v>1</v>
      </c>
      <c r="J29" s="10"/>
      <c r="K29" s="27">
        <v>1</v>
      </c>
      <c r="L29" s="10"/>
      <c r="M29" s="27">
        <v>1</v>
      </c>
      <c r="N29" s="10">
        <v>36</v>
      </c>
      <c r="O29" s="27">
        <v>5077</v>
      </c>
      <c r="P29" s="10">
        <f t="shared" si="1"/>
        <v>0</v>
      </c>
      <c r="Q29" s="27">
        <f t="shared" si="1"/>
        <v>1</v>
      </c>
      <c r="R29" s="10"/>
      <c r="S29" s="27">
        <v>1</v>
      </c>
      <c r="T29" s="10"/>
      <c r="U29" s="27">
        <v>1</v>
      </c>
    </row>
    <row r="30" spans="1:22" x14ac:dyDescent="0.2">
      <c r="A30" s="14" t="str">
        <f>Basis!A22</f>
        <v>D</v>
      </c>
      <c r="B30" s="58" t="str">
        <f>Basis!B22</f>
        <v>links</v>
      </c>
      <c r="C30" s="148">
        <f>G30*I30*K30*M30*O30*Q30*S30*U30</f>
        <v>5077</v>
      </c>
      <c r="D30" s="19">
        <f>IF(Basis!E22&lt;&gt;"",Basis!E22*1000/C30,"")</f>
        <v>2.5455098914729688</v>
      </c>
      <c r="E30" s="138">
        <f>Basis!L22/C30</f>
        <v>0.61043402673212677</v>
      </c>
      <c r="F30" s="48"/>
      <c r="G30" s="27">
        <v>1</v>
      </c>
      <c r="H30" s="10"/>
      <c r="I30" s="49">
        <v>1</v>
      </c>
      <c r="J30" s="10"/>
      <c r="K30" s="27">
        <v>1</v>
      </c>
      <c r="L30" s="10"/>
      <c r="M30" s="27">
        <v>1</v>
      </c>
      <c r="N30" s="10">
        <v>36</v>
      </c>
      <c r="O30" s="27">
        <v>5077</v>
      </c>
      <c r="P30" s="10">
        <f t="shared" si="1"/>
        <v>0</v>
      </c>
      <c r="Q30" s="27">
        <f t="shared" si="1"/>
        <v>1</v>
      </c>
      <c r="R30" s="10"/>
      <c r="S30" s="27">
        <v>1</v>
      </c>
      <c r="T30" s="10"/>
      <c r="U30" s="27">
        <v>1</v>
      </c>
    </row>
    <row r="31" spans="1:22" s="8" customFormat="1" ht="26.25" customHeight="1" x14ac:dyDescent="0.2">
      <c r="A31" s="71" t="str">
        <f>Basis!A23</f>
        <v>E</v>
      </c>
      <c r="B31" s="81" t="str">
        <f>Basis!B23</f>
        <v>Tür</v>
      </c>
      <c r="C31" s="149" t="s">
        <v>74</v>
      </c>
      <c r="D31" s="85">
        <f>SUM(D32:D33)</f>
        <v>4.3164876623026567</v>
      </c>
      <c r="E31" s="139" t="s">
        <v>74</v>
      </c>
      <c r="F31" s="82" t="s">
        <v>74</v>
      </c>
      <c r="G31" s="83" t="s">
        <v>74</v>
      </c>
      <c r="H31" s="84" t="s">
        <v>74</v>
      </c>
      <c r="I31" s="141" t="s">
        <v>74</v>
      </c>
      <c r="J31" s="84" t="s">
        <v>74</v>
      </c>
      <c r="K31" s="83" t="s">
        <v>74</v>
      </c>
      <c r="L31" s="84" t="s">
        <v>74</v>
      </c>
      <c r="M31" s="83" t="s">
        <v>74</v>
      </c>
      <c r="N31" s="84" t="s">
        <v>74</v>
      </c>
      <c r="O31" s="83" t="s">
        <v>74</v>
      </c>
      <c r="P31" s="84" t="str">
        <f t="shared" si="1"/>
        <v>-</v>
      </c>
      <c r="Q31" s="83" t="str">
        <f t="shared" si="1"/>
        <v>-</v>
      </c>
      <c r="R31" s="84" t="s">
        <v>74</v>
      </c>
      <c r="S31" s="83" t="s">
        <v>74</v>
      </c>
      <c r="T31" s="84" t="s">
        <v>74</v>
      </c>
      <c r="U31" s="83" t="s">
        <v>74</v>
      </c>
    </row>
    <row r="32" spans="1:22" s="80" customFormat="1" x14ac:dyDescent="0.2">
      <c r="A32" s="179" t="str">
        <f>Basis!A24</f>
        <v>e1</v>
      </c>
      <c r="B32" s="179" t="str">
        <f>Basis!B24</f>
        <v>Streu</v>
      </c>
      <c r="C32" s="187">
        <f t="shared" ref="C32:C37" si="2">G32*I32*K32*M32*O32*Q32*S32*U32</f>
        <v>40.299999999999997</v>
      </c>
      <c r="D32" s="188">
        <f>IF(Basis!E24&lt;&gt;"",Basis!E24*1000/C32,"")</f>
        <v>3.9632470977677543</v>
      </c>
      <c r="E32" s="189">
        <f>(Basis!L24/C32)</f>
        <v>1.9008379365792585</v>
      </c>
      <c r="F32" s="190">
        <v>2.1</v>
      </c>
      <c r="G32" s="184">
        <v>40.299999999999997</v>
      </c>
      <c r="H32" s="183"/>
      <c r="I32" s="186">
        <v>1</v>
      </c>
      <c r="J32" s="183"/>
      <c r="K32" s="184">
        <v>1</v>
      </c>
      <c r="L32" s="183"/>
      <c r="M32" s="184">
        <v>1</v>
      </c>
      <c r="N32" s="183"/>
      <c r="O32" s="184">
        <v>1</v>
      </c>
      <c r="P32" s="191">
        <f t="shared" si="1"/>
        <v>0</v>
      </c>
      <c r="Q32" s="192">
        <f t="shared" si="1"/>
        <v>1</v>
      </c>
      <c r="R32" s="183"/>
      <c r="S32" s="184">
        <v>1</v>
      </c>
      <c r="T32" s="183"/>
      <c r="U32" s="184">
        <v>1</v>
      </c>
    </row>
    <row r="33" spans="1:21" s="80" customFormat="1" x14ac:dyDescent="0.2">
      <c r="A33" s="179" t="str">
        <f>Basis!A25</f>
        <v>e2</v>
      </c>
      <c r="B33" s="179" t="str">
        <f>Basis!B25</f>
        <v>direkt</v>
      </c>
      <c r="C33" s="187">
        <f t="shared" si="2"/>
        <v>13004.81</v>
      </c>
      <c r="D33" s="188">
        <f>IF(Basis!E25&lt;&gt;"",Basis!E25*1000/C33,"")</f>
        <v>0.35324056453490205</v>
      </c>
      <c r="E33" s="189">
        <f>(Basis!L25/C33)</f>
        <v>0.16941993502872998</v>
      </c>
      <c r="F33" s="190">
        <v>2.1</v>
      </c>
      <c r="G33" s="184">
        <v>40.299999999999997</v>
      </c>
      <c r="H33" s="183"/>
      <c r="I33" s="186">
        <v>1</v>
      </c>
      <c r="J33" s="183"/>
      <c r="K33" s="184">
        <v>1</v>
      </c>
      <c r="L33" s="183"/>
      <c r="M33" s="184">
        <v>1</v>
      </c>
      <c r="N33" s="183">
        <v>24</v>
      </c>
      <c r="O33" s="184">
        <v>322.7</v>
      </c>
      <c r="P33" s="191">
        <f t="shared" si="1"/>
        <v>0</v>
      </c>
      <c r="Q33" s="192">
        <f t="shared" si="1"/>
        <v>1</v>
      </c>
      <c r="R33" s="183"/>
      <c r="S33" s="184">
        <v>1</v>
      </c>
      <c r="T33" s="183"/>
      <c r="U33" s="184">
        <v>1</v>
      </c>
    </row>
    <row r="34" spans="1:21" ht="27" customHeight="1" x14ac:dyDescent="0.2">
      <c r="A34" s="14" t="str">
        <f>Basis!A26</f>
        <v>F</v>
      </c>
      <c r="B34" s="58" t="str">
        <f>Basis!B26</f>
        <v>Schaltpult AL</v>
      </c>
      <c r="C34" s="148">
        <f t="shared" si="2"/>
        <v>5077</v>
      </c>
      <c r="D34" s="19">
        <f>IF(Basis!E26&lt;&gt;"",Basis!E26*1000/C34,"")</f>
        <v>1.4157159292995314</v>
      </c>
      <c r="E34" s="140">
        <f>(Basis!L26/C34)</f>
        <v>0.33950022285360459</v>
      </c>
      <c r="F34" s="48"/>
      <c r="G34" s="27">
        <f>G28</f>
        <v>1</v>
      </c>
      <c r="H34" s="10"/>
      <c r="I34" s="49">
        <v>1</v>
      </c>
      <c r="J34" s="10"/>
      <c r="K34" s="27">
        <v>1</v>
      </c>
      <c r="L34" s="10"/>
      <c r="M34" s="27">
        <v>1</v>
      </c>
      <c r="N34" s="10">
        <f>N28</f>
        <v>36</v>
      </c>
      <c r="O34" s="27">
        <f>O28</f>
        <v>5077</v>
      </c>
      <c r="P34" s="10">
        <f t="shared" si="1"/>
        <v>0</v>
      </c>
      <c r="Q34" s="27">
        <f t="shared" si="1"/>
        <v>1</v>
      </c>
      <c r="R34" s="10"/>
      <c r="S34" s="27">
        <v>1</v>
      </c>
      <c r="T34" s="10"/>
      <c r="U34" s="27">
        <v>1</v>
      </c>
    </row>
    <row r="35" spans="1:21" ht="13.5" customHeight="1" x14ac:dyDescent="0.2">
      <c r="A35" s="14" t="str">
        <f>Basis!A27</f>
        <v>G</v>
      </c>
      <c r="B35" s="58" t="str">
        <f>Basis!B27</f>
        <v>Schaltpult CT</v>
      </c>
      <c r="C35" s="148">
        <f t="shared" si="2"/>
        <v>5077</v>
      </c>
      <c r="D35" s="19">
        <f>IF(Basis!E27&lt;&gt;"",Basis!E27*1000/C35,"")</f>
        <v>0.41478891927377071</v>
      </c>
      <c r="E35" s="140">
        <f>(Basis!L27/C35)</f>
        <v>9.9469764813853848E-2</v>
      </c>
      <c r="F35" s="48"/>
      <c r="G35" s="27">
        <f>G29</f>
        <v>1</v>
      </c>
      <c r="H35" s="10"/>
      <c r="I35" s="49">
        <v>1</v>
      </c>
      <c r="J35" s="10"/>
      <c r="K35" s="27">
        <v>1</v>
      </c>
      <c r="L35" s="10"/>
      <c r="M35" s="27">
        <v>1</v>
      </c>
      <c r="N35" s="10">
        <f>N29</f>
        <v>36</v>
      </c>
      <c r="O35" s="27">
        <f>O29</f>
        <v>5077</v>
      </c>
      <c r="P35" s="10">
        <f t="shared" si="1"/>
        <v>0</v>
      </c>
      <c r="Q35" s="27">
        <f t="shared" si="1"/>
        <v>1</v>
      </c>
      <c r="R35" s="10"/>
      <c r="S35" s="27">
        <v>1</v>
      </c>
      <c r="T35" s="10"/>
      <c r="U35" s="27">
        <v>1</v>
      </c>
    </row>
    <row r="36" spans="1:21" x14ac:dyDescent="0.2">
      <c r="A36" s="14" t="str">
        <f>Basis!A28</f>
        <v>H</v>
      </c>
      <c r="B36" s="58" t="str">
        <f>Basis!B28</f>
        <v>Decke</v>
      </c>
      <c r="C36" s="148">
        <f t="shared" si="2"/>
        <v>3004.07</v>
      </c>
      <c r="D36" s="19">
        <f>IF(Basis!E28&lt;&gt;"",Basis!E28*1000/C36,"")</f>
        <v>1.6709669304271477</v>
      </c>
      <c r="E36" s="140">
        <f>(Basis!L28/C36)</f>
        <v>0.40071149410722967</v>
      </c>
      <c r="F36" s="48">
        <v>2.5</v>
      </c>
      <c r="G36" s="163">
        <v>69.7</v>
      </c>
      <c r="H36" s="10"/>
      <c r="I36" s="49">
        <v>1</v>
      </c>
      <c r="J36" s="10"/>
      <c r="K36" s="27">
        <v>1</v>
      </c>
      <c r="L36" s="10"/>
      <c r="M36" s="27">
        <v>1</v>
      </c>
      <c r="N36" s="10"/>
      <c r="O36" s="27">
        <v>1</v>
      </c>
      <c r="P36" s="10">
        <f t="shared" si="1"/>
        <v>32</v>
      </c>
      <c r="Q36" s="27">
        <f t="shared" si="1"/>
        <v>43.1</v>
      </c>
      <c r="R36" s="10"/>
      <c r="S36" s="27">
        <v>1</v>
      </c>
      <c r="T36" s="10"/>
      <c r="U36" s="27">
        <v>1</v>
      </c>
    </row>
    <row r="37" spans="1:21" x14ac:dyDescent="0.2">
      <c r="A37" s="14" t="str">
        <f>Basis!A29</f>
        <v>I</v>
      </c>
      <c r="B37" s="58" t="str">
        <f>Basis!B29</f>
        <v>Boden</v>
      </c>
      <c r="C37" s="148">
        <f t="shared" si="2"/>
        <v>1</v>
      </c>
      <c r="D37" s="19" t="str">
        <f>IF(Basis!E29&lt;&gt;"",Basis!E29*1000/C37,"")</f>
        <v/>
      </c>
      <c r="E37" s="140">
        <f>(Basis!L29/C37)</f>
        <v>1</v>
      </c>
      <c r="F37" s="48"/>
      <c r="G37" s="27">
        <v>1</v>
      </c>
      <c r="H37" s="10"/>
      <c r="I37" s="49">
        <v>1</v>
      </c>
      <c r="J37" s="10"/>
      <c r="K37" s="27">
        <v>1</v>
      </c>
      <c r="L37" s="10"/>
      <c r="M37" s="27">
        <v>1</v>
      </c>
      <c r="N37" s="10"/>
      <c r="O37" s="27">
        <v>1</v>
      </c>
      <c r="P37" s="10">
        <f t="shared" si="1"/>
        <v>0</v>
      </c>
      <c r="Q37" s="27">
        <f t="shared" si="1"/>
        <v>1</v>
      </c>
      <c r="R37" s="10"/>
      <c r="S37" s="27">
        <v>1</v>
      </c>
      <c r="T37" s="10"/>
      <c r="U37" s="27">
        <v>1</v>
      </c>
    </row>
  </sheetData>
  <sheetProtection password="DA3B" sheet="1" objects="1" scenarios="1"/>
  <mergeCells count="52">
    <mergeCell ref="A22:B26"/>
    <mergeCell ref="A4:B8"/>
    <mergeCell ref="R6:S6"/>
    <mergeCell ref="R7:S7"/>
    <mergeCell ref="N5:O5"/>
    <mergeCell ref="N6:O6"/>
    <mergeCell ref="N7:O7"/>
    <mergeCell ref="P5:Q5"/>
    <mergeCell ref="H5:I5"/>
    <mergeCell ref="F5:G5"/>
    <mergeCell ref="T5:U5"/>
    <mergeCell ref="T6:U6"/>
    <mergeCell ref="T7:U7"/>
    <mergeCell ref="P7:Q7"/>
    <mergeCell ref="R5:S5"/>
    <mergeCell ref="P6:Q6"/>
    <mergeCell ref="F6:G6"/>
    <mergeCell ref="F7:G7"/>
    <mergeCell ref="F4:U4"/>
    <mergeCell ref="F22:U22"/>
    <mergeCell ref="L5:M5"/>
    <mergeCell ref="L6:M6"/>
    <mergeCell ref="L7:M7"/>
    <mergeCell ref="J5:K5"/>
    <mergeCell ref="J6:K6"/>
    <mergeCell ref="J7:K7"/>
    <mergeCell ref="J24:K24"/>
    <mergeCell ref="L24:M24"/>
    <mergeCell ref="N24:O24"/>
    <mergeCell ref="P24:Q24"/>
    <mergeCell ref="H6:I6"/>
    <mergeCell ref="H7:I7"/>
    <mergeCell ref="F23:G23"/>
    <mergeCell ref="N25:O25"/>
    <mergeCell ref="P25:Q25"/>
    <mergeCell ref="R25:S25"/>
    <mergeCell ref="H23:I23"/>
    <mergeCell ref="J23:K23"/>
    <mergeCell ref="F25:G25"/>
    <mergeCell ref="H25:I25"/>
    <mergeCell ref="F24:G24"/>
    <mergeCell ref="H24:I24"/>
    <mergeCell ref="J25:K25"/>
    <mergeCell ref="L25:M25"/>
    <mergeCell ref="T23:U23"/>
    <mergeCell ref="N23:O23"/>
    <mergeCell ref="P23:Q23"/>
    <mergeCell ref="R23:S23"/>
    <mergeCell ref="T24:U24"/>
    <mergeCell ref="T25:U25"/>
    <mergeCell ref="R24:S24"/>
    <mergeCell ref="L23:M2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horizontalDpi="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16</vt:i4>
      </vt:variant>
    </vt:vector>
  </HeadingPairs>
  <TitlesOfParts>
    <vt:vector size="18" baseType="lpstr">
      <vt:lpstr>Basis</vt:lpstr>
      <vt:lpstr>Abschirmungen</vt:lpstr>
      <vt:lpstr>Abstand</vt:lpstr>
      <vt:lpstr>AKTn</vt:lpstr>
      <vt:lpstr>DLo</vt:lpstr>
      <vt:lpstr>FNs</vt:lpstr>
      <vt:lpstr>FNw</vt:lpstr>
      <vt:lpstr>Hj</vt:lpstr>
      <vt:lpstr>Hs</vt:lpstr>
      <vt:lpstr>Hw</vt:lpstr>
      <vt:lpstr>HWZ</vt:lpstr>
      <vt:lpstr>KennDL</vt:lpstr>
      <vt:lpstr>lambda</vt:lpstr>
      <vt:lpstr>Qwechsel</vt:lpstr>
      <vt:lpstr>Streuung</vt:lpstr>
      <vt:lpstr>T</vt:lpstr>
      <vt:lpstr>WA</vt:lpstr>
      <vt:lpstr>Zeit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Hartmut Sumpf</cp:lastModifiedBy>
  <cp:lastPrinted>2010-12-09T13:27:20Z</cp:lastPrinted>
  <dcterms:created xsi:type="dcterms:W3CDTF">1996-10-17T05:27:31Z</dcterms:created>
  <dcterms:modified xsi:type="dcterms:W3CDTF">2024-09-05T11:43:40Z</dcterms:modified>
</cp:coreProperties>
</file>