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p\Desktop\"/>
    </mc:Choice>
  </mc:AlternateContent>
  <xr:revisionPtr revIDLastSave="0" documentId="13_ncr:1_{E26C32CB-06F7-4C23-A64C-27A37012B9C6}" xr6:coauthVersionLast="46" xr6:coauthVersionMax="46" xr10:uidLastSave="{00000000-0000-0000-0000-000000000000}"/>
  <bookViews>
    <workbookView xWindow="22470" yWindow="1020" windowWidth="29100" windowHeight="20250" activeTab="7" xr2:uid="{D6D559D2-EDE2-42B7-B2F6-7AB77AAB0AD2}"/>
  </bookViews>
  <sheets>
    <sheet name="NUK Daten" sheetId="7" r:id="rId1"/>
    <sheet name="Positionen" sheetId="3" r:id="rId2"/>
    <sheet name="Position-Details" sheetId="9" r:id="rId3"/>
    <sheet name="AbstandsTab" sheetId="8" r:id="rId4"/>
    <sheet name="Quellen" sheetId="5" r:id="rId5"/>
    <sheet name="Quell-Details" sheetId="6" r:id="rId6"/>
    <sheet name="Aufpunkte" sheetId="1" r:id="rId7"/>
    <sheet name="APkt Details" sheetId="2" r:id="rId8"/>
    <sheet name="APkt QPkt" sheetId="4" r:id="rId9"/>
  </sheets>
  <definedNames>
    <definedName name="Konst_h10">'NUK Daten'!$C:$C</definedName>
    <definedName name="NUK_h10">'NUK Daten'!$B:$B</definedName>
    <definedName name="Tau">'NUK Daten'!$F$9:$F$19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7" i="9" l="1"/>
  <c r="D100" i="9"/>
  <c r="D124" i="9"/>
  <c r="D123" i="9"/>
  <c r="D122" i="9"/>
  <c r="D121" i="9"/>
  <c r="D120" i="9"/>
  <c r="D119" i="9"/>
  <c r="D118" i="9"/>
  <c r="D102" i="9"/>
  <c r="D101" i="9"/>
  <c r="D83" i="9"/>
  <c r="D70" i="9"/>
  <c r="D59" i="9"/>
  <c r="D47" i="9"/>
  <c r="D71" i="9"/>
  <c r="D60" i="9"/>
  <c r="D85" i="9"/>
  <c r="D84" i="9"/>
  <c r="BU95" i="9"/>
  <c r="BU65" i="9"/>
  <c r="Y70" i="9" l="1"/>
  <c r="T70" i="9"/>
  <c r="D48" i="9"/>
  <c r="AI70" i="9"/>
  <c r="AI59" i="9"/>
  <c r="I10" i="9" l="1"/>
  <c r="I6" i="3" l="1"/>
  <c r="AN118" i="9"/>
  <c r="Q117" i="9"/>
  <c r="AN101" i="9"/>
  <c r="Q100" i="9"/>
  <c r="AX84" i="9"/>
  <c r="AA83" i="9"/>
  <c r="AA59" i="9"/>
  <c r="AA70" i="9"/>
  <c r="AA47" i="9"/>
  <c r="AI47" i="9" s="1"/>
  <c r="AL10" i="9" l="1"/>
  <c r="AM10" i="9"/>
  <c r="AN10" i="9" s="1"/>
  <c r="AO10" i="9"/>
  <c r="AP10" i="9"/>
  <c r="AQ10" i="9"/>
  <c r="AR10" i="9"/>
  <c r="AS10" i="9" s="1"/>
  <c r="AT10" i="9"/>
  <c r="AU10" i="9"/>
  <c r="AV10" i="9"/>
  <c r="AW10" i="9"/>
  <c r="AX10" i="9" s="1"/>
  <c r="AT11" i="9"/>
  <c r="AU11" i="9"/>
  <c r="AV11" i="9"/>
  <c r="AW11" i="9"/>
  <c r="AX11" i="9" s="1"/>
  <c r="BU29" i="9" l="1"/>
  <c r="AK10" i="9"/>
  <c r="AJ10" i="9"/>
  <c r="AH10" i="9"/>
  <c r="AI10" i="9" s="1"/>
  <c r="AG10" i="9"/>
  <c r="AF10" i="9"/>
  <c r="AE10" i="9"/>
  <c r="AC10" i="9"/>
  <c r="AD10" i="9" s="1"/>
  <c r="AC11" i="9"/>
  <c r="AD11" i="9" s="1"/>
  <c r="AB11" i="9"/>
  <c r="AB10" i="9"/>
  <c r="AA11" i="9"/>
  <c r="AA10" i="9"/>
  <c r="Z11" i="9"/>
  <c r="Z10" i="9"/>
  <c r="X11" i="9"/>
  <c r="Y11" i="9" s="1"/>
  <c r="X10" i="9"/>
  <c r="Y10" i="9" s="1"/>
  <c r="W11" i="9"/>
  <c r="W10" i="9"/>
  <c r="V11" i="9"/>
  <c r="V10" i="9"/>
  <c r="U11" i="9"/>
  <c r="U10" i="9"/>
  <c r="S11" i="9"/>
  <c r="T11" i="9" s="1"/>
  <c r="S10" i="9"/>
  <c r="T10" i="9" s="1"/>
  <c r="R11" i="9"/>
  <c r="R10" i="9"/>
  <c r="Q11" i="9"/>
  <c r="Q10" i="9"/>
  <c r="P11" i="9"/>
  <c r="P10" i="9"/>
  <c r="N13" i="9"/>
  <c r="O13" i="9" s="1"/>
  <c r="N12" i="9"/>
  <c r="O12" i="9" s="1"/>
  <c r="N11" i="9"/>
  <c r="O11" i="9" s="1"/>
  <c r="N10" i="9"/>
  <c r="O10" i="9" s="1"/>
  <c r="M13" i="9"/>
  <c r="M12" i="9"/>
  <c r="M11" i="9"/>
  <c r="M10" i="9"/>
  <c r="L13" i="9"/>
  <c r="L12" i="9"/>
  <c r="L11" i="9"/>
  <c r="L10" i="9"/>
  <c r="K13" i="9"/>
  <c r="K12" i="9"/>
  <c r="K11" i="9"/>
  <c r="K10" i="9"/>
  <c r="K21" i="8"/>
  <c r="J21" i="8"/>
  <c r="I21" i="8"/>
  <c r="H21" i="8"/>
  <c r="G21" i="8"/>
  <c r="F21" i="8"/>
  <c r="J10" i="9"/>
  <c r="H10" i="9"/>
  <c r="G10" i="9"/>
  <c r="F10" i="9"/>
  <c r="BU9" i="9" l="1"/>
  <c r="K40" i="6" l="1"/>
  <c r="K39" i="6"/>
  <c r="K48" i="6" l="1"/>
  <c r="K49" i="6"/>
  <c r="K50" i="6"/>
  <c r="K51" i="6"/>
  <c r="K47" i="6"/>
  <c r="H48" i="6"/>
  <c r="H49" i="6"/>
  <c r="H50" i="6"/>
  <c r="H51" i="6"/>
  <c r="E48" i="6"/>
  <c r="E49" i="6"/>
  <c r="E50" i="6"/>
  <c r="E51" i="6"/>
  <c r="E40" i="6"/>
  <c r="E47" i="6"/>
  <c r="E39" i="6"/>
  <c r="I44" i="6"/>
  <c r="I36" i="6"/>
  <c r="H44" i="6"/>
  <c r="F44" i="6"/>
  <c r="E44" i="6"/>
  <c r="G44" i="6" s="1"/>
  <c r="D44" i="6"/>
  <c r="C44" i="6"/>
  <c r="H36" i="6"/>
  <c r="E36" i="6"/>
  <c r="D36" i="6"/>
  <c r="C36" i="6"/>
  <c r="H40" i="6"/>
  <c r="H39" i="6"/>
  <c r="H47" i="6"/>
  <c r="J44" i="6" l="1"/>
  <c r="G36" i="6"/>
  <c r="J36" i="6" s="1"/>
  <c r="H32" i="6"/>
  <c r="E31" i="6"/>
  <c r="I27" i="6"/>
  <c r="H27" i="6"/>
  <c r="F27" i="6"/>
  <c r="E27" i="6"/>
  <c r="G27" i="6" s="1"/>
  <c r="D27" i="6"/>
  <c r="C27" i="6"/>
  <c r="H31" i="6"/>
  <c r="H30" i="6"/>
  <c r="I49" i="6" l="1"/>
  <c r="L49" i="6" s="1"/>
  <c r="I50" i="6"/>
  <c r="L50" i="6" s="1"/>
  <c r="I51" i="6"/>
  <c r="L51" i="6" s="1"/>
  <c r="I48" i="6"/>
  <c r="L48" i="6" s="1"/>
  <c r="I47" i="6"/>
  <c r="I40" i="6"/>
  <c r="I39" i="6"/>
  <c r="K31" i="6"/>
  <c r="K32" i="6"/>
  <c r="E30" i="6"/>
  <c r="E32" i="6"/>
  <c r="J27" i="6"/>
  <c r="I30" i="6" s="1"/>
  <c r="K30" i="6"/>
  <c r="H14" i="6"/>
  <c r="K17" i="6" s="1"/>
  <c r="H20" i="6"/>
  <c r="F20" i="6"/>
  <c r="E20" i="6"/>
  <c r="D20" i="6"/>
  <c r="C20" i="6"/>
  <c r="H24" i="6"/>
  <c r="H23" i="6"/>
  <c r="F14" i="6"/>
  <c r="E14" i="6"/>
  <c r="G14" i="6" s="1"/>
  <c r="D14" i="6"/>
  <c r="C14" i="6"/>
  <c r="B14" i="6"/>
  <c r="I31" i="6" l="1"/>
  <c r="L31" i="6" s="1"/>
  <c r="N31" i="6" s="1"/>
  <c r="M49" i="6"/>
  <c r="N49" i="6"/>
  <c r="M48" i="6"/>
  <c r="N48" i="6"/>
  <c r="M51" i="6"/>
  <c r="N51" i="6"/>
  <c r="M50" i="6"/>
  <c r="N50" i="6"/>
  <c r="K24" i="6"/>
  <c r="K23" i="6"/>
  <c r="L30" i="6"/>
  <c r="I32" i="6"/>
  <c r="L32" i="6" s="1"/>
  <c r="L47" i="6"/>
  <c r="G20" i="6"/>
  <c r="J20" i="6" s="1"/>
  <c r="E23" i="6"/>
  <c r="E24" i="6"/>
  <c r="E17" i="6"/>
  <c r="I14" i="6"/>
  <c r="J14" i="6" s="1"/>
  <c r="H6" i="6"/>
  <c r="H7" i="5"/>
  <c r="M31" i="6" l="1"/>
  <c r="N47" i="6"/>
  <c r="M47" i="6"/>
  <c r="L40" i="6"/>
  <c r="M30" i="6"/>
  <c r="N30" i="6"/>
  <c r="I23" i="6"/>
  <c r="L23" i="6" s="1"/>
  <c r="L39" i="6"/>
  <c r="M32" i="6"/>
  <c r="N32" i="6"/>
  <c r="I24" i="6"/>
  <c r="K9" i="6"/>
  <c r="H11" i="6"/>
  <c r="H12" i="5"/>
  <c r="H10" i="5"/>
  <c r="H9" i="5"/>
  <c r="H8" i="5"/>
  <c r="N40" i="6" l="1"/>
  <c r="M40" i="6"/>
  <c r="M39" i="6"/>
  <c r="N39" i="6"/>
  <c r="N23" i="6"/>
  <c r="M23" i="6"/>
  <c r="L14" i="8"/>
  <c r="K14" i="8"/>
  <c r="J14" i="8"/>
  <c r="I14" i="8"/>
  <c r="H14" i="8"/>
  <c r="G14" i="8"/>
  <c r="F14" i="8"/>
  <c r="E14" i="8"/>
  <c r="D14" i="8"/>
  <c r="C14" i="8"/>
  <c r="B14" i="8"/>
  <c r="K13" i="8"/>
  <c r="J13" i="8"/>
  <c r="I13" i="8"/>
  <c r="H13" i="8"/>
  <c r="G13" i="8"/>
  <c r="F13" i="8"/>
  <c r="E13" i="8"/>
  <c r="D13" i="8"/>
  <c r="C13" i="8"/>
  <c r="B13" i="8"/>
  <c r="J12" i="8"/>
  <c r="I12" i="8"/>
  <c r="H12" i="8"/>
  <c r="G12" i="8"/>
  <c r="F12" i="8"/>
  <c r="E12" i="8"/>
  <c r="D12" i="8"/>
  <c r="C12" i="8"/>
  <c r="B12" i="8"/>
  <c r="I11" i="8"/>
  <c r="H11" i="8"/>
  <c r="G11" i="8"/>
  <c r="F11" i="8"/>
  <c r="E11" i="8"/>
  <c r="D11" i="8"/>
  <c r="C11" i="8"/>
  <c r="B11" i="8"/>
  <c r="H10" i="8"/>
  <c r="G10" i="8"/>
  <c r="F10" i="8"/>
  <c r="E10" i="8"/>
  <c r="D10" i="8"/>
  <c r="C10" i="8"/>
  <c r="B10" i="8"/>
  <c r="F9" i="8"/>
  <c r="E9" i="8"/>
  <c r="D9" i="8"/>
  <c r="C9" i="8"/>
  <c r="B9" i="8"/>
  <c r="E8" i="8"/>
  <c r="D8" i="8"/>
  <c r="C8" i="8"/>
  <c r="B8" i="8"/>
  <c r="D7" i="8"/>
  <c r="C7" i="8"/>
  <c r="B7" i="8"/>
  <c r="C6" i="8"/>
  <c r="B6" i="8"/>
  <c r="B5" i="8"/>
  <c r="L4" i="8"/>
  <c r="K4" i="8"/>
  <c r="J4" i="8"/>
  <c r="I4" i="8"/>
  <c r="H4" i="8"/>
  <c r="G4" i="8"/>
  <c r="F4" i="8"/>
  <c r="E4" i="8"/>
  <c r="D4" i="8"/>
  <c r="C4" i="8"/>
  <c r="H11" i="5" l="1"/>
  <c r="B6" i="6"/>
  <c r="L7" i="5" l="1"/>
  <c r="K40" i="4"/>
  <c r="J40" i="4"/>
  <c r="I40" i="4"/>
  <c r="H40" i="4"/>
  <c r="G40" i="4"/>
  <c r="E40" i="4"/>
  <c r="D40" i="4"/>
  <c r="J42" i="4"/>
  <c r="I42" i="4"/>
  <c r="H42" i="4"/>
  <c r="E42" i="4"/>
  <c r="D42" i="4"/>
  <c r="K39" i="4"/>
  <c r="J39" i="4"/>
  <c r="I39" i="4"/>
  <c r="H39" i="4"/>
  <c r="E39" i="4"/>
  <c r="D39" i="4"/>
  <c r="K41" i="4"/>
  <c r="J41" i="4"/>
  <c r="I41" i="4"/>
  <c r="H41" i="4"/>
  <c r="E41" i="4"/>
  <c r="D41" i="4"/>
  <c r="K38" i="4"/>
  <c r="J38" i="4"/>
  <c r="I38" i="4"/>
  <c r="H38" i="4"/>
  <c r="G38" i="4"/>
  <c r="E38" i="4"/>
  <c r="D38" i="4"/>
  <c r="K37" i="4"/>
  <c r="J37" i="4"/>
  <c r="I37" i="4"/>
  <c r="H37" i="4"/>
  <c r="E37" i="4"/>
  <c r="D37" i="4"/>
  <c r="J23" i="4"/>
  <c r="I23" i="4"/>
  <c r="E23" i="4"/>
  <c r="D23" i="4"/>
  <c r="H23" i="4" l="1"/>
  <c r="K22" i="4"/>
  <c r="J22" i="4"/>
  <c r="I22" i="4"/>
  <c r="H22" i="4"/>
  <c r="E22" i="4"/>
  <c r="D22" i="4"/>
  <c r="C22" i="4"/>
  <c r="J21" i="4"/>
  <c r="I21" i="4"/>
  <c r="H21" i="4"/>
  <c r="E21" i="4"/>
  <c r="D21" i="4"/>
  <c r="J20" i="4"/>
  <c r="I20" i="4"/>
  <c r="H20" i="4"/>
  <c r="E20" i="4"/>
  <c r="D20" i="4"/>
  <c r="J19" i="4"/>
  <c r="I19" i="4"/>
  <c r="H19" i="4"/>
  <c r="E19" i="4"/>
  <c r="D19" i="4"/>
  <c r="J18" i="4"/>
  <c r="I18" i="4"/>
  <c r="H18" i="4"/>
  <c r="E18" i="4"/>
  <c r="D18" i="4"/>
  <c r="K18" i="4"/>
  <c r="J17" i="4"/>
  <c r="I17" i="4"/>
  <c r="H17" i="4"/>
  <c r="E17" i="4"/>
  <c r="D17" i="4"/>
  <c r="J16" i="4"/>
  <c r="H16" i="4"/>
  <c r="I16" i="4"/>
  <c r="E16" i="4"/>
  <c r="D16" i="4"/>
  <c r="J15" i="4"/>
  <c r="I15" i="4"/>
  <c r="H15" i="4"/>
  <c r="E15" i="4"/>
  <c r="D15" i="4"/>
  <c r="O43" i="4"/>
  <c r="O44" i="4"/>
  <c r="O45" i="4"/>
  <c r="O46" i="4"/>
  <c r="O47" i="4"/>
  <c r="O48" i="4"/>
  <c r="O49" i="4"/>
  <c r="O50" i="4"/>
  <c r="O51" i="4"/>
  <c r="O52" i="4"/>
  <c r="G36" i="4"/>
  <c r="G35" i="4"/>
  <c r="G34" i="4"/>
  <c r="G14" i="4"/>
  <c r="G13" i="4"/>
  <c r="G12" i="4"/>
  <c r="H9" i="6"/>
  <c r="B12" i="2"/>
  <c r="B11" i="2"/>
  <c r="B10" i="2"/>
  <c r="B9" i="2"/>
  <c r="D7" i="4" s="1"/>
  <c r="I35" i="4"/>
  <c r="I36" i="4"/>
  <c r="I13" i="4"/>
  <c r="I14" i="4"/>
  <c r="I34" i="4"/>
  <c r="I12" i="4"/>
  <c r="H34" i="4"/>
  <c r="F34" i="4"/>
  <c r="E34" i="4"/>
  <c r="E35" i="4"/>
  <c r="E36" i="4"/>
  <c r="D35" i="4"/>
  <c r="D36" i="4"/>
  <c r="D34" i="4"/>
  <c r="F12" i="4"/>
  <c r="E14" i="4"/>
  <c r="E13" i="4"/>
  <c r="D14" i="4"/>
  <c r="D13" i="4"/>
  <c r="D12" i="4"/>
  <c r="B14" i="4"/>
  <c r="B13" i="4"/>
  <c r="A14" i="4"/>
  <c r="A13" i="4"/>
  <c r="A15" i="4"/>
  <c r="B15" i="4"/>
  <c r="A16" i="4"/>
  <c r="B16" i="4"/>
  <c r="A20" i="4"/>
  <c r="B20" i="4"/>
  <c r="A22" i="4"/>
  <c r="B22" i="4"/>
  <c r="A23" i="4"/>
  <c r="B23" i="4"/>
  <c r="A24" i="4"/>
  <c r="B24" i="4"/>
  <c r="A25" i="4"/>
  <c r="B25" i="4"/>
  <c r="A26" i="4"/>
  <c r="B26" i="4"/>
  <c r="A27" i="4"/>
  <c r="B27" i="4"/>
  <c r="A28" i="4"/>
  <c r="B28" i="4"/>
  <c r="A29" i="4"/>
  <c r="B29" i="4"/>
  <c r="A30" i="4"/>
  <c r="B30" i="4"/>
  <c r="A31" i="4"/>
  <c r="B31" i="4"/>
  <c r="A32" i="4"/>
  <c r="B32" i="4"/>
  <c r="A33" i="4"/>
  <c r="B33" i="4"/>
  <c r="A34" i="4"/>
  <c r="B34" i="4"/>
  <c r="A35" i="4"/>
  <c r="B35" i="4"/>
  <c r="A36" i="4"/>
  <c r="B36" i="4"/>
  <c r="A37" i="4"/>
  <c r="B37" i="4"/>
  <c r="A38" i="4"/>
  <c r="B38" i="4"/>
  <c r="A41" i="4"/>
  <c r="B41" i="4"/>
  <c r="A42" i="4"/>
  <c r="B42" i="4"/>
  <c r="A43" i="4"/>
  <c r="B43" i="4"/>
  <c r="A44" i="4"/>
  <c r="B44" i="4"/>
  <c r="A45" i="4"/>
  <c r="B45" i="4"/>
  <c r="A46" i="4"/>
  <c r="B46" i="4"/>
  <c r="A47" i="4"/>
  <c r="B47" i="4"/>
  <c r="A48" i="4"/>
  <c r="B48" i="4"/>
  <c r="A49" i="4"/>
  <c r="B49" i="4"/>
  <c r="A50" i="4"/>
  <c r="B50" i="4"/>
  <c r="A51" i="4"/>
  <c r="B51" i="4"/>
  <c r="A52" i="4"/>
  <c r="B52" i="4"/>
  <c r="B12" i="4"/>
  <c r="C24" i="4" l="1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41" i="4"/>
  <c r="C42" i="4"/>
  <c r="C43" i="4"/>
  <c r="C44" i="4"/>
  <c r="C45" i="4"/>
  <c r="C46" i="4"/>
  <c r="C47" i="4"/>
  <c r="C48" i="4"/>
  <c r="C49" i="4"/>
  <c r="C50" i="4"/>
  <c r="C51" i="4"/>
  <c r="C52" i="4"/>
  <c r="C23" i="4"/>
  <c r="C15" i="4"/>
  <c r="AT5" i="3"/>
  <c r="E12" i="4"/>
  <c r="A12" i="4"/>
  <c r="C7" i="4"/>
  <c r="E9" i="2"/>
  <c r="D9" i="2"/>
  <c r="A5" i="2"/>
  <c r="A7" i="4" s="1"/>
  <c r="C16" i="4" l="1"/>
  <c r="C18" i="4"/>
  <c r="C19" i="4"/>
  <c r="C17" i="4"/>
  <c r="C12" i="4"/>
  <c r="C14" i="4"/>
  <c r="C13" i="4"/>
  <c r="I17" i="6"/>
  <c r="C21" i="4"/>
  <c r="C20" i="4"/>
  <c r="C39" i="4"/>
  <c r="C38" i="4"/>
  <c r="C40" i="4"/>
  <c r="C12" i="2"/>
  <c r="C11" i="2"/>
  <c r="C10" i="2"/>
  <c r="C9" i="2"/>
  <c r="E7" i="4" s="1"/>
  <c r="B5" i="2"/>
  <c r="B7" i="4" s="1"/>
  <c r="C5" i="2"/>
  <c r="D5" i="2"/>
  <c r="E5" i="2"/>
  <c r="F5" i="2"/>
  <c r="D16" i="1"/>
  <c r="D11" i="1"/>
  <c r="D12" i="1"/>
  <c r="D13" i="1"/>
  <c r="D14" i="1"/>
  <c r="D10" i="1"/>
  <c r="D6" i="6"/>
  <c r="C6" i="6"/>
  <c r="L12" i="5"/>
  <c r="M12" i="5" s="1"/>
  <c r="L11" i="5"/>
  <c r="M11" i="5" s="1"/>
  <c r="L10" i="5"/>
  <c r="M10" i="5" s="1"/>
  <c r="L8" i="5"/>
  <c r="M8" i="5" s="1"/>
  <c r="L9" i="5"/>
  <c r="M9" i="5" s="1"/>
  <c r="H10" i="6"/>
  <c r="K12" i="4" s="1"/>
  <c r="K34" i="4"/>
  <c r="N21" i="4" l="1"/>
  <c r="O21" i="4" s="1"/>
  <c r="M21" i="4"/>
  <c r="M23" i="4"/>
  <c r="N40" i="4"/>
  <c r="O40" i="4" s="1"/>
  <c r="M40" i="4"/>
  <c r="N19" i="4"/>
  <c r="O19" i="4" s="1"/>
  <c r="M19" i="4"/>
  <c r="M38" i="4"/>
  <c r="N38" i="4"/>
  <c r="O38" i="4" s="1"/>
  <c r="M42" i="4"/>
  <c r="N39" i="4"/>
  <c r="O39" i="4" s="1"/>
  <c r="M39" i="4"/>
  <c r="N42" i="4"/>
  <c r="O42" i="4" s="1"/>
  <c r="N16" i="4"/>
  <c r="O16" i="4" s="1"/>
  <c r="M16" i="4"/>
  <c r="N41" i="4"/>
  <c r="O41" i="4" s="1"/>
  <c r="N15" i="4"/>
  <c r="M17" i="4"/>
  <c r="N17" i="4"/>
  <c r="O17" i="4" s="1"/>
  <c r="M41" i="4"/>
  <c r="N20" i="4"/>
  <c r="O20" i="4" s="1"/>
  <c r="M20" i="4"/>
  <c r="M15" i="4"/>
  <c r="M18" i="4" s="1"/>
  <c r="J6" i="6"/>
  <c r="M7" i="5"/>
  <c r="K36" i="4"/>
  <c r="K35" i="4"/>
  <c r="K14" i="4"/>
  <c r="K13" i="4"/>
  <c r="F15" i="7"/>
  <c r="E10" i="7"/>
  <c r="F10" i="7" s="1"/>
  <c r="E15" i="7"/>
  <c r="E17" i="7"/>
  <c r="F17" i="7" s="1"/>
  <c r="E18" i="7"/>
  <c r="F18" i="7" s="1"/>
  <c r="H12" i="4"/>
  <c r="D19" i="7"/>
  <c r="E19" i="7" s="1"/>
  <c r="F19" i="7" s="1"/>
  <c r="D16" i="7"/>
  <c r="E16" i="7" s="1"/>
  <c r="F16" i="7" s="1"/>
  <c r="D14" i="7"/>
  <c r="E14" i="7" s="1"/>
  <c r="F14" i="7" s="1"/>
  <c r="D13" i="7"/>
  <c r="E13" i="7" s="1"/>
  <c r="F13" i="7" s="1"/>
  <c r="D12" i="7"/>
  <c r="E12" i="7" s="1"/>
  <c r="F12" i="7" s="1"/>
  <c r="D11" i="7"/>
  <c r="E11" i="7" s="1"/>
  <c r="F11" i="7" s="1"/>
  <c r="D9" i="7"/>
  <c r="E9" i="7" s="1"/>
  <c r="F9" i="7" s="1"/>
  <c r="I10" i="6" l="1"/>
  <c r="I9" i="6"/>
  <c r="M34" i="4" s="1"/>
  <c r="M36" i="4" s="1"/>
  <c r="I11" i="6"/>
  <c r="L24" i="6"/>
  <c r="K11" i="6"/>
  <c r="K10" i="6"/>
  <c r="L17" i="6"/>
  <c r="N18" i="4"/>
  <c r="O18" i="4" s="1"/>
  <c r="O15" i="4"/>
  <c r="M12" i="4"/>
  <c r="M13" i="4" s="1"/>
  <c r="E6" i="6"/>
  <c r="F6" i="6"/>
  <c r="N24" i="6" l="1"/>
  <c r="M24" i="6"/>
  <c r="G6" i="6"/>
  <c r="E11" i="6"/>
  <c r="E10" i="6"/>
  <c r="E9" i="6"/>
  <c r="L11" i="6"/>
  <c r="M11" i="6" s="1"/>
  <c r="M37" i="4"/>
  <c r="N17" i="6"/>
  <c r="M17" i="6"/>
  <c r="N23" i="4"/>
  <c r="O23" i="4" s="1"/>
  <c r="M35" i="4"/>
  <c r="M14" i="4"/>
  <c r="J12" i="4"/>
  <c r="J34" i="4"/>
  <c r="L10" i="6"/>
  <c r="L9" i="6"/>
  <c r="G7" i="4" l="1"/>
  <c r="G9" i="2" s="1"/>
  <c r="N11" i="6"/>
  <c r="M9" i="6"/>
  <c r="N9" i="6"/>
  <c r="N10" i="6"/>
  <c r="M10" i="6"/>
  <c r="N34" i="4"/>
  <c r="O34" i="4" s="1"/>
  <c r="N37" i="4"/>
  <c r="O37" i="4" s="1"/>
  <c r="N12" i="4"/>
  <c r="N14" i="4" s="1"/>
  <c r="O14" i="4" s="1"/>
  <c r="J36" i="4"/>
  <c r="J35" i="4"/>
  <c r="J14" i="4"/>
  <c r="J13" i="4"/>
  <c r="O12" i="4" l="1"/>
  <c r="N13" i="4"/>
  <c r="O13" i="4" s="1"/>
  <c r="N35" i="4"/>
  <c r="O35" i="4" s="1"/>
  <c r="N36" i="4"/>
  <c r="O36" i="4" s="1"/>
  <c r="I7" i="4" l="1"/>
  <c r="H7" i="4"/>
  <c r="H9" i="2" s="1"/>
  <c r="P40" i="4" l="1"/>
  <c r="I9" i="2"/>
  <c r="P15" i="4"/>
  <c r="P18" i="4" s="1"/>
  <c r="P20" i="4"/>
  <c r="P49" i="4"/>
  <c r="P51" i="4"/>
  <c r="P12" i="4"/>
  <c r="P41" i="4"/>
  <c r="P36" i="4"/>
  <c r="P39" i="4"/>
  <c r="P47" i="4"/>
  <c r="P52" i="4"/>
  <c r="P17" i="4"/>
  <c r="P21" i="4"/>
  <c r="P38" i="4"/>
  <c r="P46" i="4"/>
  <c r="P35" i="4"/>
  <c r="P42" i="4"/>
  <c r="P48" i="4"/>
  <c r="P44" i="4"/>
  <c r="P14" i="4"/>
  <c r="P16" i="4"/>
  <c r="P19" i="4" s="1"/>
  <c r="P13" i="4"/>
  <c r="P50" i="4"/>
  <c r="P43" i="4"/>
  <c r="P37" i="4"/>
  <c r="P34" i="4"/>
  <c r="P45" i="4"/>
  <c r="P2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damp</author>
  </authors>
  <commentList>
    <comment ref="G6" authorId="0" shapeId="0" xr:uid="{D37B5049-25D9-4D1F-AE98-58FBDEFEF5A8}">
      <text>
        <r>
          <rPr>
            <b/>
            <sz val="9"/>
            <color indexed="81"/>
            <rFont val="Segoe UI"/>
            <family val="2"/>
          </rPr>
          <t>damp:</t>
        </r>
        <r>
          <rPr>
            <sz val="9"/>
            <color indexed="81"/>
            <rFont val="Segoe UI"/>
            <family val="2"/>
          </rPr>
          <t xml:space="preserve">
Der Red.Faktor ist z.B. bei Jod-Therapie über eine Woche 0,7 oder 0,2 (Maligne, Funtionstherapie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damp</author>
  </authors>
  <commentList>
    <comment ref="H5" authorId="0" shapeId="0" xr:uid="{DB73AC40-AB22-47BE-AFFC-E917864BB1F9}">
      <text>
        <r>
          <rPr>
            <b/>
            <sz val="9"/>
            <color indexed="81"/>
            <rFont val="Segoe UI"/>
            <family val="2"/>
          </rPr>
          <t>damp:</t>
        </r>
        <r>
          <rPr>
            <sz val="9"/>
            <color indexed="81"/>
            <rFont val="Segoe UI"/>
            <family val="2"/>
          </rPr>
          <t xml:space="preserve">
Der Red.Faktor ist z.B. bei Jod-Therapie über eine Woche 0,6 oder 0,2 (Maligne, Funtionstherapie)
Wenn hier ein Wert &lt;1 steht, dann
sind die Spalten "Versatzzeit" und "Verweilzeit" unwirksam</t>
        </r>
      </text>
    </comment>
    <comment ref="I5" authorId="0" shapeId="0" xr:uid="{5E8E13BF-8693-403A-A180-F62F8CFA3DB7}">
      <text>
        <r>
          <rPr>
            <b/>
            <sz val="9"/>
            <color indexed="81"/>
            <rFont val="Segoe UI"/>
            <charset val="1"/>
          </rPr>
          <t>damp:</t>
        </r>
        <r>
          <rPr>
            <sz val="9"/>
            <color indexed="81"/>
            <rFont val="Segoe UI"/>
            <charset val="1"/>
          </rPr>
          <t xml:space="preserve">
Die Abschirmung ist direkt der Quelle zugeordnet, egal an welcher Position sie ist. Sie wird bisher im Fenster "Quellen" (übergeordetes Fenster) definiert; sie kann aiuch hier definiert werden, muss aber dann weiterhin imk Fenster "Quellen" in der Liste angezeigt werden!</t>
        </r>
      </text>
    </comment>
    <comment ref="H8" authorId="0" shapeId="0" xr:uid="{25215E66-B387-489A-A250-4D4990BC5198}">
      <text>
        <r>
          <rPr>
            <b/>
            <sz val="9"/>
            <color indexed="81"/>
            <rFont val="Segoe UI"/>
            <charset val="1"/>
          </rPr>
          <t>damp:</t>
        </r>
        <r>
          <rPr>
            <sz val="9"/>
            <color indexed="81"/>
            <rFont val="Segoe UI"/>
            <charset val="1"/>
          </rPr>
          <t xml:space="preserve">
Diese Abschirmung gilt nur für diese Position und nur für die hier gefinierte Zeit; zusätzlich zu den Abschirmungen der Position selbst und der Abschirmung der Quelle); könnte ein Transportgefäss sein, in dem sich die Quelle kurzzeitig befindet</t>
        </r>
      </text>
    </comment>
    <comment ref="H13" authorId="0" shapeId="0" xr:uid="{DDCA09FF-43AA-4837-A09B-D41DD0AED12A}">
      <text>
        <r>
          <rPr>
            <b/>
            <sz val="9"/>
            <color indexed="81"/>
            <rFont val="Segoe UI"/>
            <family val="2"/>
          </rPr>
          <t>damp:</t>
        </r>
        <r>
          <rPr>
            <sz val="9"/>
            <color indexed="81"/>
            <rFont val="Segoe UI"/>
            <family val="2"/>
          </rPr>
          <t xml:space="preserve">
Der Red.Faktor ist z.B. bei Jod-Therapie über eine Woche 0,6 oder 0,2 (Maligne, Funtionstherapie)
Wenn hier ein Wert &lt;1 steht, dann
sind die Spalten "Versatzzeit" und "Verweilzeit" unwirksam</t>
        </r>
      </text>
    </comment>
    <comment ref="H19" authorId="0" shapeId="0" xr:uid="{A544795D-6FE1-4B8A-A715-0A92644A97A6}">
      <text>
        <r>
          <rPr>
            <b/>
            <sz val="9"/>
            <color indexed="81"/>
            <rFont val="Segoe UI"/>
            <family val="2"/>
          </rPr>
          <t>damp:</t>
        </r>
        <r>
          <rPr>
            <sz val="9"/>
            <color indexed="81"/>
            <rFont val="Segoe UI"/>
            <family val="2"/>
          </rPr>
          <t xml:space="preserve">
Der Red.Faktor ist z.B. bei Jod-Therapie über eine Woche 0,6 oder 0,2 (Maligne, Funtionstherapie)
Wenn hier ein Wert &lt;1 steht, dann
sind die Spalten "Versatzzeit" und "Verweilzeit" unwirksam</t>
        </r>
      </text>
    </comment>
    <comment ref="I19" authorId="0" shapeId="0" xr:uid="{367022D9-21B4-47ED-A358-84233298BA59}">
      <text>
        <r>
          <rPr>
            <b/>
            <sz val="9"/>
            <color indexed="81"/>
            <rFont val="Segoe UI"/>
            <charset val="1"/>
          </rPr>
          <t>damp:</t>
        </r>
        <r>
          <rPr>
            <sz val="9"/>
            <color indexed="81"/>
            <rFont val="Segoe UI"/>
            <charset val="1"/>
          </rPr>
          <t xml:space="preserve">
Die Abschirmung ist direkt der Quelle zugeordnet, egal an welcher Position sie ist. Sie wird bisher im Fenster "Quellen" (übergeordetes Fenster) definiert; sie kann aiuch hier definiert werden, muss aber dann weiterhin imk Fenster "Quellen" in der Liste angezeigt werden!</t>
        </r>
      </text>
    </comment>
    <comment ref="H22" authorId="0" shapeId="0" xr:uid="{2B498584-AABE-4F76-ADD3-A15C56177550}">
      <text>
        <r>
          <rPr>
            <b/>
            <sz val="9"/>
            <color indexed="81"/>
            <rFont val="Segoe UI"/>
            <charset val="1"/>
          </rPr>
          <t>damp:</t>
        </r>
        <r>
          <rPr>
            <sz val="9"/>
            <color indexed="81"/>
            <rFont val="Segoe UI"/>
            <charset val="1"/>
          </rPr>
          <t xml:space="preserve">
Diese Abschirmung gilt nur für diese Position und nur für die hier gefinierte Zeit; zusätzlich zu den Abschirmungen der Position selbst und der Abschirmung der Quelle); könnte ein Transportgefäss sein, in dem sich die Quelle kurzzeitig befindet</t>
        </r>
      </text>
    </comment>
    <comment ref="H26" authorId="0" shapeId="0" xr:uid="{E9ACBCA4-7EB9-4C02-8306-AF77FB72B3E9}">
      <text>
        <r>
          <rPr>
            <b/>
            <sz val="9"/>
            <color indexed="81"/>
            <rFont val="Segoe UI"/>
            <family val="2"/>
          </rPr>
          <t>damp:</t>
        </r>
        <r>
          <rPr>
            <sz val="9"/>
            <color indexed="81"/>
            <rFont val="Segoe UI"/>
            <family val="2"/>
          </rPr>
          <t xml:space="preserve">
Der Red.Faktor ist z.B. bei Jod-Therapie über eine Woche 0,6 oder 0,2 (Maligne, Funtionstherapie)
Wenn hier ein Wert &lt;1 steht, dann
sind die Spalten "Versatzzeit" und "Verweilzeit" unwirksam</t>
        </r>
      </text>
    </comment>
    <comment ref="I26" authorId="0" shapeId="0" xr:uid="{182A8618-2854-4811-91E9-8F5C56AC8B26}">
      <text>
        <r>
          <rPr>
            <b/>
            <sz val="9"/>
            <color indexed="81"/>
            <rFont val="Segoe UI"/>
            <charset val="1"/>
          </rPr>
          <t>damp:</t>
        </r>
        <r>
          <rPr>
            <sz val="9"/>
            <color indexed="81"/>
            <rFont val="Segoe UI"/>
            <charset val="1"/>
          </rPr>
          <t xml:space="preserve">
Die Abschirmung ist direkt der Quelle zugeordnet, egal an welcher Position sie ist. Sie wird bisher im Fenster "Quellen" (übergeordetes Fenster) definiert; sie kann aiuch hier definiert werden, muss aber dann weiterhin imk Fenster "Quellen" in der Liste angezeigt werden!</t>
        </r>
      </text>
    </comment>
    <comment ref="H29" authorId="0" shapeId="0" xr:uid="{E28A99A0-D31C-4A9E-9037-CD393547BABE}">
      <text>
        <r>
          <rPr>
            <b/>
            <sz val="9"/>
            <color indexed="81"/>
            <rFont val="Segoe UI"/>
            <charset val="1"/>
          </rPr>
          <t>damp:</t>
        </r>
        <r>
          <rPr>
            <sz val="9"/>
            <color indexed="81"/>
            <rFont val="Segoe UI"/>
            <charset val="1"/>
          </rPr>
          <t xml:space="preserve">
Diese Abschirmung gilt nur für diese Position und nur für die hier gefinierte Zeit; zusätzlich zu den Abschirmungen der Position selbst und der Abschirmung der Quelle); könnte ein Transportgefäss sein, in dem sich die Quelle kurzzeitig befindet</t>
        </r>
      </text>
    </comment>
    <comment ref="H35" authorId="0" shapeId="0" xr:uid="{7A96FEBF-17FD-498E-A5F1-A9AFDC5344DF}">
      <text>
        <r>
          <rPr>
            <b/>
            <sz val="9"/>
            <color indexed="81"/>
            <rFont val="Segoe UI"/>
            <family val="2"/>
          </rPr>
          <t>damp:</t>
        </r>
        <r>
          <rPr>
            <sz val="9"/>
            <color indexed="81"/>
            <rFont val="Segoe UI"/>
            <family val="2"/>
          </rPr>
          <t xml:space="preserve">
Der Red.Faktor ist z.B. bei Jod-Therapie über eine Woche 0,6 oder 0,2 (Maligne, Funtionstherapie)
Wenn hier ein Wert &lt;1 steht, dann
sind die Spalten "Versatzzeit" und "Verweilzeit" unwirksam</t>
        </r>
      </text>
    </comment>
    <comment ref="I35" authorId="0" shapeId="0" xr:uid="{F6E8BF62-ABBC-4B46-9BC3-3FA67727A572}">
      <text>
        <r>
          <rPr>
            <b/>
            <sz val="9"/>
            <color indexed="81"/>
            <rFont val="Segoe UI"/>
            <charset val="1"/>
          </rPr>
          <t>damp:</t>
        </r>
        <r>
          <rPr>
            <sz val="9"/>
            <color indexed="81"/>
            <rFont val="Segoe UI"/>
            <charset val="1"/>
          </rPr>
          <t xml:space="preserve">
Die Abschirmung ist direkt der Quelle zugeordnet, egal an welcher Position sie ist. Sie wird bisher im Fenster "Quellen" (übergeordetes Fenster) definiert; sie kann aiuch hier definiert werden, muss aber dann weiterhin imk Fenster "Quellen" in der Liste angezeigt werden!</t>
        </r>
      </text>
    </comment>
    <comment ref="H38" authorId="0" shapeId="0" xr:uid="{299C46A1-D6B2-4BFF-8305-8528A29AA071}">
      <text>
        <r>
          <rPr>
            <b/>
            <sz val="9"/>
            <color indexed="81"/>
            <rFont val="Segoe UI"/>
            <charset val="1"/>
          </rPr>
          <t>damp:</t>
        </r>
        <r>
          <rPr>
            <sz val="9"/>
            <color indexed="81"/>
            <rFont val="Segoe UI"/>
            <charset val="1"/>
          </rPr>
          <t xml:space="preserve">
Diese Abschirmung gilt nur für diese Position und nur für die hier gefinierte Zeit; zusätzlich zu den Abschirmungen der Position selbst und der Abschirmung der Quelle); könnte ein Transportgefäss sein, in dem sich die Quelle kurzzeitig befindet</t>
        </r>
      </text>
    </comment>
    <comment ref="H43" authorId="0" shapeId="0" xr:uid="{C2491EDF-C504-42E5-9520-406B4CD7E3B0}">
      <text>
        <r>
          <rPr>
            <b/>
            <sz val="9"/>
            <color indexed="81"/>
            <rFont val="Segoe UI"/>
            <family val="2"/>
          </rPr>
          <t>damp:</t>
        </r>
        <r>
          <rPr>
            <sz val="9"/>
            <color indexed="81"/>
            <rFont val="Segoe UI"/>
            <family val="2"/>
          </rPr>
          <t xml:space="preserve">
Der Red.Faktor ist z.B. bei Jod-Therapie über eine Woche 0,6 oder 0,2 (Maligne, Funtionstherapie)
Wenn hier ein Wert &lt;1 steht, dann
sind die Spalten "Versatzzeit" und "Verweilzeit" unwirksam</t>
        </r>
      </text>
    </comment>
    <comment ref="I43" authorId="0" shapeId="0" xr:uid="{E935758F-216A-420A-9268-3ABE6FA722C7}">
      <text>
        <r>
          <rPr>
            <b/>
            <sz val="9"/>
            <color indexed="81"/>
            <rFont val="Segoe UI"/>
            <charset val="1"/>
          </rPr>
          <t>damp:</t>
        </r>
        <r>
          <rPr>
            <sz val="9"/>
            <color indexed="81"/>
            <rFont val="Segoe UI"/>
            <charset val="1"/>
          </rPr>
          <t xml:space="preserve">
Die Abschirmung ist direkt der Quelle zugeordnet, egal an welcher Position sie ist. Sie wird bisher im Fenster "Quellen" (übergeordetes Fenster) definiert; sie kann aiuch hier definiert werden, muss aber dann weiterhin imk Fenster "Quellen" in der Liste angezeigt werden!</t>
        </r>
      </text>
    </comment>
    <comment ref="H46" authorId="0" shapeId="0" xr:uid="{09585B19-D65F-4322-89BA-11C8B5B3791E}">
      <text>
        <r>
          <rPr>
            <b/>
            <sz val="9"/>
            <color indexed="81"/>
            <rFont val="Segoe UI"/>
            <charset val="1"/>
          </rPr>
          <t>damp:</t>
        </r>
        <r>
          <rPr>
            <sz val="9"/>
            <color indexed="81"/>
            <rFont val="Segoe UI"/>
            <charset val="1"/>
          </rPr>
          <t xml:space="preserve">
Diese Abschirmung gilt nur für diese Position und nur für die hier gefinierte Zeit; zusätzlich zu den Abschirmungen der Position selbst und der Abschirmung der Quelle); könnte ein Transportgefäss sein, in dem sich die Quelle kurzzeitig befindet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damp</author>
  </authors>
  <commentList>
    <comment ref="C5" authorId="0" shapeId="0" xr:uid="{7D976D07-E9F9-41E3-9335-246BC5D5FE81}">
      <text>
        <r>
          <rPr>
            <b/>
            <sz val="9"/>
            <color indexed="81"/>
            <rFont val="Segoe UI"/>
            <family val="2"/>
          </rPr>
          <t>damp:</t>
        </r>
        <r>
          <rPr>
            <sz val="9"/>
            <color indexed="81"/>
            <rFont val="Segoe UI"/>
            <family val="2"/>
          </rPr>
          <t xml:space="preserve">
Gerät
Personal
Bevölkerung
sonst.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damp</author>
  </authors>
  <commentList>
    <comment ref="C4" authorId="0" shapeId="0" xr:uid="{D09D4BE4-3D2E-4484-9F7A-4AD96801BD42}">
      <text>
        <r>
          <rPr>
            <b/>
            <sz val="9"/>
            <color indexed="81"/>
            <rFont val="Segoe UI"/>
            <family val="2"/>
          </rPr>
          <t>damp:</t>
        </r>
        <r>
          <rPr>
            <sz val="9"/>
            <color indexed="81"/>
            <rFont val="Segoe UI"/>
            <family val="2"/>
          </rPr>
          <t xml:space="preserve">
Gerät
Personal
Bevölkerung
sonst.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damp</author>
  </authors>
  <commentList>
    <comment ref="K11" authorId="0" shapeId="0" xr:uid="{A5D7BBD6-56DE-4F62-BE93-D9AB3F888682}">
      <text>
        <r>
          <rPr>
            <b/>
            <sz val="9"/>
            <color indexed="81"/>
            <rFont val="Segoe UI"/>
            <family val="2"/>
          </rPr>
          <t>damp:</t>
        </r>
        <r>
          <rPr>
            <sz val="9"/>
            <color indexed="81"/>
            <rFont val="Segoe UI"/>
            <family val="2"/>
          </rPr>
          <t xml:space="preserve">
=FN (Aufpunkt)
* FN (durchdr. Bauteile)
Abschirmung der Quelle schon in
der Dosisleistung berücksichtigt</t>
        </r>
      </text>
    </comment>
  </commentList>
</comments>
</file>

<file path=xl/sharedStrings.xml><?xml version="1.0" encoding="utf-8"?>
<sst xmlns="http://schemas.openxmlformats.org/spreadsheetml/2006/main" count="1057" uniqueCount="167">
  <si>
    <t>Aufpunkte</t>
  </si>
  <si>
    <t>lfdNr.</t>
  </si>
  <si>
    <t>Bezeichnung</t>
  </si>
  <si>
    <t>DL
mSv/a</t>
  </si>
  <si>
    <t>Aufpunkte / Details</t>
  </si>
  <si>
    <t>Position</t>
  </si>
  <si>
    <t>Typ</t>
  </si>
  <si>
    <t>Positionen</t>
  </si>
  <si>
    <t>Abschirmung</t>
  </si>
  <si>
    <t>Material</t>
  </si>
  <si>
    <t>Wandstärke
[mm]</t>
  </si>
  <si>
    <t>Koordinaten</t>
  </si>
  <si>
    <t>X
[m]</t>
  </si>
  <si>
    <t>Y
[m]</t>
  </si>
  <si>
    <t>Z
[m]</t>
  </si>
  <si>
    <t>Quellen -&gt; Aufpunkt</t>
  </si>
  <si>
    <t>Apkt</t>
  </si>
  <si>
    <t>lfdNr</t>
  </si>
  <si>
    <t>Quellen</t>
  </si>
  <si>
    <t>Bauteile</t>
  </si>
  <si>
    <t>Nuklid</t>
  </si>
  <si>
    <t>%</t>
  </si>
  <si>
    <t>Abschirmung Position</t>
  </si>
  <si>
    <t>FN gesamt</t>
  </si>
  <si>
    <t>LfdNr.</t>
  </si>
  <si>
    <t>nom.Akt
[MBq]</t>
  </si>
  <si>
    <t>Abschirmung Quelle</t>
  </si>
  <si>
    <t>FN</t>
  </si>
  <si>
    <t>PET Kamera</t>
  </si>
  <si>
    <t>Gamma Kamera</t>
  </si>
  <si>
    <t>SPECT Kamera</t>
  </si>
  <si>
    <t>Schilddr. Messplatz</t>
  </si>
  <si>
    <t>Pb</t>
  </si>
  <si>
    <t>F-18</t>
  </si>
  <si>
    <t>Tc-99m</t>
  </si>
  <si>
    <t>J-123</t>
  </si>
  <si>
    <r>
      <t>Kenn DL</t>
    </r>
    <r>
      <rPr>
        <b/>
        <vertAlign val="subscript"/>
        <sz val="11"/>
        <color theme="1"/>
        <rFont val="Calibri"/>
        <family val="2"/>
        <scheme val="minor"/>
      </rPr>
      <t>o</t>
    </r>
    <r>
      <rPr>
        <b/>
        <sz val="11"/>
        <color theme="1"/>
        <rFont val="Calibri"/>
        <family val="2"/>
        <scheme val="minor"/>
      </rPr>
      <t xml:space="preserve">
[uSv/h]</t>
    </r>
  </si>
  <si>
    <r>
      <t>Kenn DL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
[uSv/h]</t>
    </r>
  </si>
  <si>
    <r>
      <t>Kenn DL</t>
    </r>
    <r>
      <rPr>
        <b/>
        <vertAlign val="subscript"/>
        <sz val="11"/>
        <color theme="1"/>
        <rFont val="Calibri"/>
        <family val="2"/>
        <scheme val="minor"/>
      </rPr>
      <t>xi</t>
    </r>
    <r>
      <rPr>
        <b/>
        <sz val="11"/>
        <color theme="1"/>
        <rFont val="Calibri"/>
        <family val="2"/>
        <scheme val="minor"/>
      </rPr>
      <t xml:space="preserve">
[uSv/h]</t>
    </r>
  </si>
  <si>
    <t>Versatz Zeit
[min]</t>
  </si>
  <si>
    <t>Verweil Zeit
[min]</t>
  </si>
  <si>
    <t>NUK Daten</t>
  </si>
  <si>
    <t>J-124</t>
  </si>
  <si>
    <t>J-125</t>
  </si>
  <si>
    <t>J-126</t>
  </si>
  <si>
    <t>J-131+</t>
  </si>
  <si>
    <t>J-133</t>
  </si>
  <si>
    <t>In-111+</t>
  </si>
  <si>
    <t>Mo-99+</t>
  </si>
  <si>
    <t>Tl-201</t>
  </si>
  <si>
    <t>Anzahl
pro Tag</t>
  </si>
  <si>
    <t>-</t>
  </si>
  <si>
    <t>Akt
[MBq]</t>
  </si>
  <si>
    <t>int.Mittel</t>
  </si>
  <si>
    <t>Gamm-Konst
h10
(mSv m2)/(h GBq)</t>
  </si>
  <si>
    <t>Quelle Details</t>
  </si>
  <si>
    <r>
      <t>DL</t>
    </r>
    <r>
      <rPr>
        <b/>
        <vertAlign val="subscript"/>
        <sz val="11"/>
        <color theme="1"/>
        <rFont val="Calibri"/>
        <family val="2"/>
        <scheme val="minor"/>
      </rPr>
      <t>grenz</t>
    </r>
    <r>
      <rPr>
        <b/>
        <sz val="11"/>
        <color theme="1"/>
        <rFont val="Calibri"/>
        <family val="2"/>
        <scheme val="minor"/>
      </rPr>
      <t xml:space="preserve">
mSv/a</t>
    </r>
  </si>
  <si>
    <t>Gerät</t>
  </si>
  <si>
    <t>Personal 1</t>
  </si>
  <si>
    <t>Personal</t>
  </si>
  <si>
    <r>
      <t>DL</t>
    </r>
    <r>
      <rPr>
        <b/>
        <vertAlign val="subscript"/>
        <sz val="11"/>
        <color theme="1"/>
        <rFont val="Calibri"/>
        <family val="2"/>
        <scheme val="minor"/>
      </rPr>
      <t>grenz</t>
    </r>
    <r>
      <rPr>
        <b/>
        <sz val="11"/>
        <color theme="1"/>
        <rFont val="Calibri"/>
        <family val="2"/>
        <scheme val="minor"/>
      </rPr>
      <t xml:space="preserve">
uSv/h</t>
    </r>
  </si>
  <si>
    <t>Personal 2</t>
  </si>
  <si>
    <t>Personal 3</t>
  </si>
  <si>
    <t>Personal 4</t>
  </si>
  <si>
    <t>Personal 5</t>
  </si>
  <si>
    <t>Plaketten</t>
  </si>
  <si>
    <t>sonst.</t>
  </si>
  <si>
    <t>Test</t>
  </si>
  <si>
    <t>HF-Monitor</t>
  </si>
  <si>
    <t>Anzahl
Positionen</t>
  </si>
  <si>
    <r>
      <t>DL</t>
    </r>
    <r>
      <rPr>
        <b/>
        <vertAlign val="subscript"/>
        <sz val="11"/>
        <color theme="1"/>
        <rFont val="Calibri"/>
        <family val="2"/>
        <scheme val="minor"/>
      </rPr>
      <t>max</t>
    </r>
    <r>
      <rPr>
        <b/>
        <sz val="11"/>
        <color theme="1"/>
        <rFont val="Calibri"/>
        <family val="2"/>
        <scheme val="minor"/>
      </rPr>
      <t xml:space="preserve">
uSv/h</t>
    </r>
  </si>
  <si>
    <r>
      <t>DL</t>
    </r>
    <r>
      <rPr>
        <b/>
        <vertAlign val="subscript"/>
        <sz val="11"/>
        <color theme="1"/>
        <rFont val="Calibri"/>
        <family val="2"/>
        <scheme val="minor"/>
      </rPr>
      <t>korr</t>
    </r>
    <r>
      <rPr>
        <b/>
        <sz val="11"/>
        <color theme="1"/>
        <rFont val="Calibri"/>
        <family val="2"/>
        <scheme val="minor"/>
      </rPr>
      <t xml:space="preserve">
uSv/h</t>
    </r>
  </si>
  <si>
    <t>Zeit
[h]</t>
  </si>
  <si>
    <t>Quelle
lfdNr.</t>
  </si>
  <si>
    <t>Pos.Nr.</t>
  </si>
  <si>
    <t>Abstands-Tabelle</t>
  </si>
  <si>
    <t>Red.
Faktor</t>
  </si>
  <si>
    <t>Vorgaben für Berechnungen</t>
  </si>
  <si>
    <t>berechnet</t>
  </si>
  <si>
    <t>3 mSv/h
[cm]</t>
  </si>
  <si>
    <t>PosNr.</t>
  </si>
  <si>
    <t>Zeit
[min]</t>
  </si>
  <si>
    <t>AKTIV
[MBq]</t>
  </si>
  <si>
    <t>Abstand
[m]</t>
  </si>
  <si>
    <r>
      <t>DL</t>
    </r>
    <r>
      <rPr>
        <b/>
        <vertAlign val="subscript"/>
        <sz val="11"/>
        <color theme="1"/>
        <rFont val="Calibri"/>
        <family val="2"/>
        <scheme val="minor"/>
      </rPr>
      <t>korr</t>
    </r>
    <r>
      <rPr>
        <b/>
        <sz val="11"/>
        <color theme="1"/>
        <rFont val="Calibri"/>
        <family val="2"/>
        <scheme val="minor"/>
      </rPr>
      <t xml:space="preserve">
mSv/a</t>
    </r>
  </si>
  <si>
    <t>24 h/d
[uSv/h]</t>
  </si>
  <si>
    <t>Verteilungsberechnung</t>
  </si>
  <si>
    <t>D=KennDL * 1/r^2</t>
  </si>
  <si>
    <t>3 mSv/h = KennDL / r^2</t>
  </si>
  <si>
    <t>r^2 = KennDL /3000 uSv/h</t>
  </si>
  <si>
    <t>8 h/d
[uSv/h]</t>
  </si>
  <si>
    <t>HWZ</t>
  </si>
  <si>
    <t>[h]</t>
  </si>
  <si>
    <t>[min]</t>
  </si>
  <si>
    <t>Tau
 ln(2)/HWZ
[1/min]</t>
  </si>
  <si>
    <t>8 h</t>
  </si>
  <si>
    <t>24 h</t>
  </si>
  <si>
    <t xml:space="preserve">wenn in einer Position eine einzige Quelle ist: </t>
  </si>
  <si>
    <t>-&gt; diese Quelle bei der Berechnung der Dosisleistung</t>
  </si>
  <si>
    <t>(andere Positionen) unberücksicht lassen und entsprechend markieren</t>
  </si>
  <si>
    <t>(Anzahl auch = 0)</t>
  </si>
  <si>
    <t>Regel:</t>
  </si>
  <si>
    <t>Hat eine Quelle die Anzahl 1, dann wird nur 1 Position berücksichtigt; ist diese Position die gerade</t>
  </si>
  <si>
    <t>gerechnete Position auf die die einstrahlung ermittelt wird, dann ist die Dosisleistung wegen</t>
  </si>
  <si>
    <t>Hat eine Quelle die Anzahl 2, dann werden 2 Positionen gerechnet; die erste ist der aufpunkt, dann</t>
  </si>
  <si>
    <t>nur eine weitere (höchste Dosisleistung); die erste Position ist wegen Abstand = 0 auch Dosis= 0</t>
  </si>
  <si>
    <t>Ist in dem Aufpunkt eine zweite Quelle dann erhöht sich die Anzahl der gerechneten Quellen auf</t>
  </si>
  <si>
    <t>diese Position um die Anzahl der zweite Quelle; berechnung/behandlung wie bei der ersten Quelle</t>
  </si>
  <si>
    <t>Raummitte</t>
  </si>
  <si>
    <t>LINKS</t>
  </si>
  <si>
    <t>RECHTS</t>
  </si>
  <si>
    <t>Oben 1</t>
  </si>
  <si>
    <t>Oben2</t>
  </si>
  <si>
    <t>Oben 3</t>
  </si>
  <si>
    <t>UNTEN 1</t>
  </si>
  <si>
    <t>UNTEN 2</t>
  </si>
  <si>
    <t>UNTEN 3</t>
  </si>
  <si>
    <t>OBEN 4</t>
  </si>
  <si>
    <t>ThPat. J-131</t>
  </si>
  <si>
    <t>Tc-Generator</t>
  </si>
  <si>
    <t>Patient F-18</t>
  </si>
  <si>
    <t>Tc-99m 2</t>
  </si>
  <si>
    <t>Abstand = 0 auch 0; es wird die nächst höchstwertige Position gerechnet</t>
  </si>
  <si>
    <t>Oben 2</t>
  </si>
  <si>
    <t>OBEN 3</t>
  </si>
  <si>
    <t>Patient Tc-99m</t>
  </si>
  <si>
    <t>Patient In-111</t>
  </si>
  <si>
    <t>QNr.</t>
  </si>
  <si>
    <t>KennDLx
[uSv/h]</t>
  </si>
  <si>
    <t>DLx
[uSv/h]</t>
  </si>
  <si>
    <t>Abschirmungen</t>
  </si>
  <si>
    <t>BTnr</t>
  </si>
  <si>
    <t>unten</t>
  </si>
  <si>
    <t>links</t>
  </si>
  <si>
    <t>rechts</t>
  </si>
  <si>
    <t>oben</t>
  </si>
  <si>
    <t>Dicke
[cm]</t>
  </si>
  <si>
    <t>Baryt-Beton</t>
  </si>
  <si>
    <t>Rechts</t>
  </si>
  <si>
    <t>Schritt 1:</t>
  </si>
  <si>
    <t>Feststellung, mit welcher DLx aus den anderen Positionen auf diese Position (hier: "Raummitte") eingestrahlt wird</t>
  </si>
  <si>
    <t>Es fallen heraus: Einstrahlungen aus der gleichen Position; Positionen in denen keine Quellen angegeben sind; Einstrahlungen die ohne jegliche Abschirmung auf diese Position wirken</t>
  </si>
  <si>
    <t>Schritt 2:</t>
  </si>
  <si>
    <t>Schritt 3:</t>
  </si>
  <si>
    <t>Ermittlung von Dlmax in den einzelnen Positionen:</t>
  </si>
  <si>
    <t>Anz
/Tag</t>
  </si>
  <si>
    <t>Q
LfdNr.</t>
  </si>
  <si>
    <t>Die Quelle Nr. 4 (Patient F-18) an der Position "Rechts" bringt den grössten Wert.</t>
  </si>
  <si>
    <t>Die "Anz/Tag" für diese Quelle ist "2". Die "Anz/Tag" wird an der nächsten Position (Position "Oben 2") um "1" zurückgesetzte. An der nächsten Position (Position "Oben 4") um "2" und so weiter.</t>
  </si>
  <si>
    <t>Ist die "Anz/Tag" &lt;=0, dann wird die DLx auf "0" gesetzt.</t>
  </si>
  <si>
    <t>Jetzt geht es mit der nächsten Position "UNTEN 2" weiter.</t>
  </si>
  <si>
    <t>und so weiter …. Bis die Sortierung sich so darstellt:</t>
  </si>
  <si>
    <t>Das Ergebnis von Dlmax ist jetzt die Summe der Maximalwerte aus allen Positionen</t>
  </si>
  <si>
    <t>Sortierung der Quellen in den Positionen nach max DLx</t>
  </si>
  <si>
    <t>Sortierung
=======&gt;&gt;</t>
  </si>
  <si>
    <t>Dlmax der ersten Position ("Position 3; Rechts") steht fest.</t>
  </si>
  <si>
    <t xml:space="preserve">   &lt;&lt;&lt;&lt; =========</t>
  </si>
  <si>
    <t>Die DLx bei "Anz/Tag" &lt;1 werden auf "0" gesetzt.</t>
  </si>
  <si>
    <t>Sortierung der Positionen nach max DLx an der ersten Stelle</t>
  </si>
  <si>
    <t>Die Quelle Nr. 4  an der Position 3 "Rechts" bringt den grössten Wert.</t>
  </si>
  <si>
    <t>Die "Anz/Tag" für diese Quelle ist "2" und wird in den folgenden Positionen in denen sie nochmals erscheint um "1"zurückgesetzt (Position "Oben 2", "Oben 4" …)</t>
  </si>
  <si>
    <t>Schritt 4:</t>
  </si>
  <si>
    <t>Die "Anz/Tag" bei der ersten (maximalen) Position ist "1"; Die nächsten Positionen in denen die Quelle Nr. 1 auftaucht (nicht nur an der ersten/max. Stelle) werden jeweils um "1" reduziert</t>
  </si>
  <si>
    <t>(nicht dargestellt; bewirkt keine Änderung)</t>
  </si>
  <si>
    <t>Position 9 (Unten 3)und 7 (Unten 1) sind wegen Anz/Tag = 0 und keinen weiteren Quellen in diesen Positionen an den Schuss sortiert</t>
  </si>
  <si>
    <t>Dafür sind die Positionen 5, 6, 2, 4 und 10 in der Rangfolge aufgerückt</t>
  </si>
  <si>
    <t>Schritt 4, Schritt 2, Schritt 3, Schritt 4 ….. ergeben keine Änderungen mehr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</si>
</sst>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0\ _€_-;\-* #,##0.000\ _€_-;_-* &quot;-&quot;???\ _€_-;_-@_-"/>
    <numFmt numFmtId="167" formatCode="_-* #,##0.0\ _€_-;\-* #,##0.0\ _€_-;_-* &quot;-&quot;?\ _€_-;_-@_-"/>
    <numFmt numFmtId="168" formatCode="_-* #,##0.0\ _€_-;\-* #,##0.0\ _€_-;_-* &quot;-&quot;??\ _€_-;_-@_-"/>
    <numFmt numFmtId="169" formatCode="#,##0_ ;\-#,##0\ "/>
    <numFmt numFmtId="170" formatCode="_-* #,##0.00000\ _€_-;\-* #,##0.00000\ _€_-;_-* &quot;-&quot;?????\ _€_-;_-@_-"/>
    <numFmt numFmtId="171" formatCode="_-* #,##0.0000\ _€_-;\-* #,##0.0000\ _€_-;_-* &quot;-&quot;??\ _€_-;_-@_-"/>
    <numFmt numFmtId="172" formatCode="_-* #,##0.0000\ _€_-;\-* #,##0.0000\ _€_-;_-* &quot;-&quot;????\ _€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 val="singleAccounting"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30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5" fontId="4" fillId="0" borderId="0" xfId="0" applyNumberFormat="1" applyFont="1"/>
    <xf numFmtId="165" fontId="0" fillId="0" borderId="0" xfId="0" applyNumberFormat="1"/>
    <xf numFmtId="0" fontId="6" fillId="0" borderId="0" xfId="0" applyFont="1"/>
    <xf numFmtId="0" fontId="1" fillId="0" borderId="0" xfId="0" applyFont="1" applyAlignment="1">
      <alignment wrapText="1"/>
    </xf>
    <xf numFmtId="165" fontId="1" fillId="0" borderId="0" xfId="0" applyNumberFormat="1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166" fontId="4" fillId="0" borderId="0" xfId="0" applyNumberFormat="1" applyFont="1"/>
    <xf numFmtId="166" fontId="0" fillId="0" borderId="0" xfId="0" applyNumberFormat="1"/>
    <xf numFmtId="167" fontId="0" fillId="0" borderId="0" xfId="0" applyNumberFormat="1"/>
    <xf numFmtId="164" fontId="1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 wrapText="1"/>
    </xf>
    <xf numFmtId="165" fontId="4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2" fontId="8" fillId="0" borderId="0" xfId="0" applyNumberFormat="1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0" fontId="0" fillId="2" borderId="1" xfId="0" applyFill="1" applyBorder="1"/>
    <xf numFmtId="0" fontId="0" fillId="2" borderId="0" xfId="0" quotePrefix="1" applyFill="1" applyBorder="1" applyAlignment="1">
      <alignment horizontal="center"/>
    </xf>
    <xf numFmtId="0" fontId="0" fillId="2" borderId="0" xfId="0" applyFill="1" applyBorder="1"/>
    <xf numFmtId="164" fontId="0" fillId="3" borderId="1" xfId="0" applyNumberFormat="1" applyFill="1" applyBorder="1" applyAlignment="1">
      <alignment horizontal="center"/>
    </xf>
    <xf numFmtId="165" fontId="0" fillId="3" borderId="1" xfId="0" applyNumberFormat="1" applyFill="1" applyBorder="1"/>
    <xf numFmtId="164" fontId="0" fillId="3" borderId="0" xfId="0" applyNumberFormat="1" applyFill="1" applyBorder="1" applyAlignment="1">
      <alignment horizontal="center"/>
    </xf>
    <xf numFmtId="165" fontId="0" fillId="3" borderId="0" xfId="0" applyNumberFormat="1" applyFill="1" applyBorder="1"/>
    <xf numFmtId="0" fontId="0" fillId="3" borderId="1" xfId="0" applyFill="1" applyBorder="1"/>
    <xf numFmtId="0" fontId="0" fillId="3" borderId="0" xfId="0" applyFill="1" applyBorder="1"/>
    <xf numFmtId="165" fontId="0" fillId="3" borderId="1" xfId="0" applyNumberForma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65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166" fontId="0" fillId="0" borderId="1" xfId="0" applyNumberFormat="1" applyBorder="1" applyAlignment="1">
      <alignment horizontal="center"/>
    </xf>
    <xf numFmtId="11" fontId="0" fillId="0" borderId="0" xfId="0" applyNumberFormat="1" applyBorder="1"/>
    <xf numFmtId="165" fontId="0" fillId="3" borderId="1" xfId="0" applyNumberFormat="1" applyFont="1" applyFill="1" applyBorder="1"/>
    <xf numFmtId="167" fontId="4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 wrapText="1"/>
    </xf>
    <xf numFmtId="167" fontId="0" fillId="0" borderId="0" xfId="0" applyNumberFormat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0" fontId="0" fillId="0" borderId="0" xfId="0" applyFill="1"/>
    <xf numFmtId="167" fontId="0" fillId="3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2" borderId="0" xfId="0" applyFont="1" applyFill="1"/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4" fontId="1" fillId="0" borderId="0" xfId="0" applyNumberFormat="1" applyFont="1"/>
    <xf numFmtId="164" fontId="1" fillId="3" borderId="0" xfId="0" applyNumberFormat="1" applyFont="1" applyFill="1" applyAlignment="1">
      <alignment horizontal="center"/>
    </xf>
    <xf numFmtId="167" fontId="9" fillId="3" borderId="0" xfId="0" applyNumberFormat="1" applyFont="1" applyFill="1" applyBorder="1" applyAlignment="1">
      <alignment horizontal="center"/>
    </xf>
    <xf numFmtId="167" fontId="0" fillId="2" borderId="1" xfId="0" applyNumberFormat="1" applyFill="1" applyBorder="1" applyAlignment="1">
      <alignment horizontal="center"/>
    </xf>
    <xf numFmtId="167" fontId="0" fillId="2" borderId="0" xfId="0" applyNumberFormat="1" applyFill="1" applyAlignment="1">
      <alignment horizontal="center"/>
    </xf>
    <xf numFmtId="0" fontId="1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wrapText="1"/>
    </xf>
    <xf numFmtId="0" fontId="5" fillId="0" borderId="0" xfId="0" applyFont="1" applyAlignment="1">
      <alignment horizontal="center"/>
    </xf>
    <xf numFmtId="0" fontId="1" fillId="3" borderId="0" xfId="0" applyFont="1" applyFill="1"/>
    <xf numFmtId="0" fontId="11" fillId="3" borderId="2" xfId="0" applyFont="1" applyFill="1" applyBorder="1"/>
    <xf numFmtId="0" fontId="11" fillId="2" borderId="3" xfId="0" applyFont="1" applyFill="1" applyBorder="1"/>
    <xf numFmtId="167" fontId="11" fillId="2" borderId="3" xfId="0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167" fontId="1" fillId="0" borderId="0" xfId="0" applyNumberFormat="1" applyFont="1"/>
    <xf numFmtId="167" fontId="5" fillId="0" borderId="0" xfId="0" applyNumberFormat="1" applyFont="1" applyAlignment="1">
      <alignment horizontal="center"/>
    </xf>
    <xf numFmtId="165" fontId="5" fillId="0" borderId="0" xfId="0" applyNumberFormat="1" applyFont="1"/>
    <xf numFmtId="165" fontId="1" fillId="0" borderId="0" xfId="0" applyNumberFormat="1" applyFont="1"/>
    <xf numFmtId="165" fontId="0" fillId="3" borderId="1" xfId="0" applyNumberFormat="1" applyFill="1" applyBorder="1" applyAlignment="1">
      <alignment horizontal="center" wrapText="1"/>
    </xf>
    <xf numFmtId="167" fontId="1" fillId="3" borderId="0" xfId="0" applyNumberFormat="1" applyFont="1" applyFill="1" applyAlignment="1">
      <alignment horizontal="center" wrapText="1"/>
    </xf>
    <xf numFmtId="165" fontId="1" fillId="3" borderId="0" xfId="0" applyNumberFormat="1" applyFont="1" applyFill="1" applyAlignment="1">
      <alignment horizontal="center" wrapText="1"/>
    </xf>
    <xf numFmtId="167" fontId="0" fillId="3" borderId="1" xfId="0" applyNumberFormat="1" applyFill="1" applyBorder="1"/>
    <xf numFmtId="167" fontId="0" fillId="3" borderId="0" xfId="0" applyNumberFormat="1" applyFill="1" applyBorder="1"/>
    <xf numFmtId="167" fontId="0" fillId="3" borderId="0" xfId="0" applyNumberFormat="1" applyFill="1"/>
    <xf numFmtId="164" fontId="0" fillId="3" borderId="0" xfId="0" applyNumberFormat="1" applyFill="1" applyAlignment="1">
      <alignment horizontal="center"/>
    </xf>
    <xf numFmtId="165" fontId="0" fillId="3" borderId="0" xfId="0" applyNumberFormat="1" applyFill="1" applyAlignment="1">
      <alignment horizontal="center"/>
    </xf>
    <xf numFmtId="9" fontId="1" fillId="3" borderId="0" xfId="0" applyNumberFormat="1" applyFont="1" applyFill="1" applyAlignment="1">
      <alignment horizontal="center"/>
    </xf>
    <xf numFmtId="9" fontId="4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9" fontId="0" fillId="3" borderId="1" xfId="0" applyNumberFormat="1" applyFill="1" applyBorder="1" applyAlignment="1">
      <alignment horizontal="center"/>
    </xf>
    <xf numFmtId="9" fontId="0" fillId="3" borderId="0" xfId="0" applyNumberFormat="1" applyFill="1" applyAlignment="1">
      <alignment horizontal="center"/>
    </xf>
    <xf numFmtId="0" fontId="5" fillId="0" borderId="0" xfId="0" applyFont="1" applyAlignment="1"/>
    <xf numFmtId="165" fontId="5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3" borderId="0" xfId="0" quotePrefix="1" applyNumberFormat="1" applyFill="1" applyAlignment="1">
      <alignment horizontal="center"/>
    </xf>
    <xf numFmtId="9" fontId="0" fillId="3" borderId="0" xfId="0" quotePrefix="1" applyNumberFormat="1" applyFill="1" applyAlignment="1">
      <alignment horizontal="center"/>
    </xf>
    <xf numFmtId="165" fontId="4" fillId="0" borderId="0" xfId="0" applyNumberFormat="1" applyFont="1" applyAlignment="1">
      <alignment horizontal="center"/>
    </xf>
    <xf numFmtId="0" fontId="0" fillId="3" borderId="0" xfId="0" quotePrefix="1" applyFill="1" applyAlignment="1">
      <alignment horizontal="center"/>
    </xf>
    <xf numFmtId="165" fontId="13" fillId="2" borderId="0" xfId="0" applyNumberFormat="1" applyFont="1" applyFill="1" applyAlignment="1">
      <alignment horizontal="center" wrapText="1"/>
    </xf>
    <xf numFmtId="165" fontId="12" fillId="2" borderId="0" xfId="0" applyNumberFormat="1" applyFont="1" applyFill="1" applyAlignment="1">
      <alignment horizontal="center"/>
    </xf>
    <xf numFmtId="165" fontId="13" fillId="2" borderId="5" xfId="0" applyNumberFormat="1" applyFont="1" applyFill="1" applyBorder="1" applyAlignment="1">
      <alignment horizontal="center" wrapText="1"/>
    </xf>
    <xf numFmtId="165" fontId="1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7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1" fontId="0" fillId="0" borderId="0" xfId="0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0" fillId="0" borderId="0" xfId="0" quotePrefix="1"/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167" fontId="9" fillId="3" borderId="7" xfId="0" applyNumberFormat="1" applyFont="1" applyFill="1" applyBorder="1" applyAlignment="1">
      <alignment horizontal="center"/>
    </xf>
    <xf numFmtId="167" fontId="9" fillId="3" borderId="8" xfId="0" applyNumberFormat="1" applyFont="1" applyFill="1" applyBorder="1" applyAlignment="1">
      <alignment horizontal="center"/>
    </xf>
    <xf numFmtId="167" fontId="9" fillId="3" borderId="9" xfId="0" applyNumberFormat="1" applyFont="1" applyFill="1" applyBorder="1" applyAlignment="1">
      <alignment horizontal="center"/>
    </xf>
    <xf numFmtId="168" fontId="0" fillId="3" borderId="1" xfId="0" applyNumberFormat="1" applyFill="1" applyBorder="1" applyAlignment="1">
      <alignment horizontal="center"/>
    </xf>
    <xf numFmtId="168" fontId="0" fillId="3" borderId="0" xfId="0" applyNumberFormat="1" applyFill="1" applyBorder="1" applyAlignment="1">
      <alignment horizontal="center"/>
    </xf>
    <xf numFmtId="11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10" fillId="4" borderId="6" xfId="0" applyNumberFormat="1" applyFont="1" applyFill="1" applyBorder="1" applyAlignment="1">
      <alignment horizontal="center"/>
    </xf>
    <xf numFmtId="165" fontId="1" fillId="3" borderId="0" xfId="0" applyNumberFormat="1" applyFont="1" applyFill="1" applyAlignment="1">
      <alignment wrapText="1"/>
    </xf>
    <xf numFmtId="0" fontId="1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1" fillId="0" borderId="0" xfId="0" applyNumberFormat="1" applyFont="1" applyBorder="1" applyAlignment="1">
      <alignment horizontal="center" wrapText="1"/>
    </xf>
    <xf numFmtId="165" fontId="0" fillId="2" borderId="0" xfId="0" quotePrefix="1" applyNumberFormat="1" applyFill="1" applyAlignment="1">
      <alignment horizontal="center"/>
    </xf>
    <xf numFmtId="165" fontId="12" fillId="2" borderId="0" xfId="0" applyNumberFormat="1" applyFont="1" applyFill="1"/>
    <xf numFmtId="0" fontId="0" fillId="0" borderId="0" xfId="0" applyAlignment="1">
      <alignment horizontal="center"/>
    </xf>
    <xf numFmtId="169" fontId="0" fillId="0" borderId="0" xfId="0" applyNumberFormat="1" applyAlignment="1">
      <alignment horizontal="center"/>
    </xf>
    <xf numFmtId="169" fontId="1" fillId="0" borderId="10" xfId="0" applyNumberFormat="1" applyFont="1" applyBorder="1" applyAlignment="1">
      <alignment horizontal="center"/>
    </xf>
    <xf numFmtId="165" fontId="1" fillId="0" borderId="10" xfId="0" applyNumberFormat="1" applyFont="1" applyBorder="1" applyAlignment="1">
      <alignment horizontal="center" wrapText="1"/>
    </xf>
    <xf numFmtId="0" fontId="10" fillId="0" borderId="0" xfId="0" applyFont="1"/>
    <xf numFmtId="0" fontId="10" fillId="0" borderId="10" xfId="0" applyFont="1" applyBorder="1"/>
    <xf numFmtId="0" fontId="0" fillId="0" borderId="9" xfId="0" applyBorder="1"/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11" fontId="0" fillId="0" borderId="0" xfId="0" applyNumberFormat="1" applyAlignment="1">
      <alignment horizontal="center"/>
    </xf>
    <xf numFmtId="169" fontId="1" fillId="0" borderId="11" xfId="0" applyNumberFormat="1" applyFont="1" applyBorder="1" applyAlignment="1">
      <alignment horizontal="center"/>
    </xf>
    <xf numFmtId="165" fontId="1" fillId="0" borderId="12" xfId="0" applyNumberFormat="1" applyFont="1" applyBorder="1" applyAlignment="1">
      <alignment horizontal="center" wrapText="1"/>
    </xf>
    <xf numFmtId="169" fontId="0" fillId="0" borderId="9" xfId="0" applyNumberFormat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70" fontId="0" fillId="0" borderId="0" xfId="0" applyNumberFormat="1" applyAlignment="1">
      <alignment horizontal="center"/>
    </xf>
    <xf numFmtId="165" fontId="0" fillId="0" borderId="0" xfId="0" applyNumberFormat="1" applyAlignment="1">
      <alignment horizontal="left"/>
    </xf>
    <xf numFmtId="165" fontId="0" fillId="5" borderId="13" xfId="0" applyNumberFormat="1" applyFill="1" applyBorder="1" applyAlignment="1">
      <alignment horizontal="center"/>
    </xf>
    <xf numFmtId="165" fontId="0" fillId="5" borderId="0" xfId="0" applyNumberFormat="1" applyFill="1" applyAlignment="1">
      <alignment horizontal="center"/>
    </xf>
    <xf numFmtId="171" fontId="0" fillId="5" borderId="13" xfId="0" applyNumberFormat="1" applyFill="1" applyBorder="1" applyAlignment="1">
      <alignment horizontal="center"/>
    </xf>
    <xf numFmtId="169" fontId="17" fillId="0" borderId="0" xfId="0" applyNumberFormat="1" applyFont="1" applyAlignment="1">
      <alignment horizontal="left"/>
    </xf>
    <xf numFmtId="169" fontId="18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left"/>
    </xf>
    <xf numFmtId="165" fontId="1" fillId="0" borderId="0" xfId="0" applyNumberFormat="1" applyFon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0" fillId="0" borderId="0" xfId="0" applyFont="1" applyAlignment="1">
      <alignment horizontal="left"/>
    </xf>
    <xf numFmtId="165" fontId="10" fillId="0" borderId="0" xfId="0" applyNumberFormat="1" applyFont="1"/>
    <xf numFmtId="165" fontId="10" fillId="0" borderId="0" xfId="0" applyNumberFormat="1" applyFont="1" applyAlignment="1">
      <alignment horizontal="center"/>
    </xf>
    <xf numFmtId="169" fontId="10" fillId="0" borderId="0" xfId="0" applyNumberFormat="1" applyFont="1" applyAlignment="1">
      <alignment horizontal="center"/>
    </xf>
    <xf numFmtId="169" fontId="10" fillId="5" borderId="0" xfId="0" applyNumberFormat="1" applyFont="1" applyFill="1" applyAlignment="1">
      <alignment horizontal="center"/>
    </xf>
    <xf numFmtId="165" fontId="10" fillId="5" borderId="0" xfId="0" applyNumberFormat="1" applyFont="1" applyFill="1" applyAlignment="1">
      <alignment horizontal="center"/>
    </xf>
    <xf numFmtId="171" fontId="0" fillId="0" borderId="13" xfId="0" applyNumberFormat="1" applyFill="1" applyBorder="1" applyAlignment="1">
      <alignment horizontal="center"/>
    </xf>
    <xf numFmtId="165" fontId="0" fillId="0" borderId="13" xfId="0" applyNumberFormat="1" applyFill="1" applyBorder="1" applyAlignment="1">
      <alignment horizontal="center"/>
    </xf>
    <xf numFmtId="169" fontId="0" fillId="5" borderId="0" xfId="0" applyNumberFormat="1" applyFill="1" applyBorder="1" applyAlignment="1">
      <alignment horizontal="center"/>
    </xf>
    <xf numFmtId="169" fontId="0" fillId="5" borderId="0" xfId="0" applyNumberForma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165" fontId="1" fillId="0" borderId="0" xfId="0" applyNumberFormat="1" applyFont="1" applyFill="1" applyAlignment="1">
      <alignment horizontal="center"/>
    </xf>
    <xf numFmtId="165" fontId="0" fillId="0" borderId="0" xfId="0" applyNumberFormat="1" applyFill="1" applyAlignment="1">
      <alignment horizontal="center"/>
    </xf>
    <xf numFmtId="169" fontId="0" fillId="0" borderId="9" xfId="0" applyNumberFormat="1" applyFill="1" applyBorder="1" applyAlignment="1">
      <alignment horizontal="center"/>
    </xf>
    <xf numFmtId="169" fontId="0" fillId="0" borderId="0" xfId="0" applyNumberFormat="1" applyFill="1" applyBorder="1" applyAlignment="1">
      <alignment horizontal="center"/>
    </xf>
    <xf numFmtId="169" fontId="0" fillId="0" borderId="0" xfId="0" applyNumberFormat="1" applyFill="1" applyAlignment="1">
      <alignment horizontal="center"/>
    </xf>
    <xf numFmtId="11" fontId="0" fillId="5" borderId="0" xfId="0" applyNumberFormat="1" applyFill="1" applyAlignment="1">
      <alignment horizontal="center"/>
    </xf>
    <xf numFmtId="11" fontId="0" fillId="5" borderId="13" xfId="0" applyNumberForma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11" fontId="0" fillId="0" borderId="0" xfId="0" applyNumberFormat="1" applyFill="1"/>
    <xf numFmtId="169" fontId="1" fillId="0" borderId="11" xfId="0" applyNumberFormat="1" applyFont="1" applyBorder="1" applyAlignment="1">
      <alignment horizontal="center"/>
    </xf>
    <xf numFmtId="169" fontId="1" fillId="0" borderId="10" xfId="0" applyNumberFormat="1" applyFont="1" applyBorder="1" applyAlignment="1">
      <alignment horizontal="center"/>
    </xf>
    <xf numFmtId="169" fontId="1" fillId="0" borderId="10" xfId="0" applyNumberFormat="1" applyFont="1" applyBorder="1" applyAlignment="1">
      <alignment horizontal="center" wrapText="1"/>
    </xf>
    <xf numFmtId="169" fontId="1" fillId="0" borderId="11" xfId="0" applyNumberFormat="1" applyFont="1" applyBorder="1" applyAlignment="1">
      <alignment horizontal="center"/>
    </xf>
    <xf numFmtId="169" fontId="1" fillId="0" borderId="10" xfId="0" applyNumberFormat="1" applyFont="1" applyBorder="1" applyAlignment="1">
      <alignment horizontal="center"/>
    </xf>
    <xf numFmtId="165" fontId="10" fillId="0" borderId="0" xfId="0" applyNumberFormat="1" applyFont="1" applyAlignment="1">
      <alignment horizontal="left"/>
    </xf>
    <xf numFmtId="165" fontId="10" fillId="5" borderId="0" xfId="0" applyNumberFormat="1" applyFont="1" applyFill="1" applyAlignment="1">
      <alignment horizontal="left"/>
    </xf>
    <xf numFmtId="165" fontId="19" fillId="0" borderId="0" xfId="0" applyNumberFormat="1" applyFont="1" applyAlignment="1"/>
    <xf numFmtId="0" fontId="6" fillId="0" borderId="0" xfId="0" applyFont="1" applyAlignment="1">
      <alignment horizontal="left"/>
    </xf>
    <xf numFmtId="0" fontId="1" fillId="0" borderId="0" xfId="0" applyNumberFormat="1" applyFont="1" applyBorder="1" applyAlignment="1">
      <alignment horizontal="center"/>
    </xf>
    <xf numFmtId="169" fontId="6" fillId="0" borderId="0" xfId="0" applyNumberFormat="1" applyFont="1" applyAlignment="1">
      <alignment horizontal="center"/>
    </xf>
    <xf numFmtId="0" fontId="6" fillId="0" borderId="0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left"/>
    </xf>
    <xf numFmtId="164" fontId="6" fillId="0" borderId="0" xfId="0" applyNumberFormat="1" applyFont="1"/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/>
    <xf numFmtId="165" fontId="1" fillId="5" borderId="1" xfId="0" applyNumberFormat="1" applyFont="1" applyFill="1" applyBorder="1" applyAlignment="1">
      <alignment horizontal="center"/>
    </xf>
    <xf numFmtId="165" fontId="1" fillId="0" borderId="13" xfId="0" applyNumberFormat="1" applyFont="1" applyBorder="1" applyAlignment="1">
      <alignment horizontal="center" vertical="center" textRotation="90" wrapText="1"/>
    </xf>
    <xf numFmtId="165" fontId="0" fillId="3" borderId="13" xfId="0" applyNumberFormat="1" applyFill="1" applyBorder="1" applyAlignment="1">
      <alignment horizontal="center"/>
    </xf>
    <xf numFmtId="172" fontId="0" fillId="5" borderId="13" xfId="0" applyNumberFormat="1" applyFill="1" applyBorder="1" applyAlignment="1">
      <alignment horizontal="center"/>
    </xf>
    <xf numFmtId="166" fontId="0" fillId="5" borderId="13" xfId="0" applyNumberFormat="1" applyFill="1" applyBorder="1" applyAlignment="1">
      <alignment horizontal="center"/>
    </xf>
    <xf numFmtId="169" fontId="21" fillId="0" borderId="9" xfId="0" applyNumberFormat="1" applyFont="1" applyBorder="1" applyAlignment="1">
      <alignment horizontal="center"/>
    </xf>
    <xf numFmtId="169" fontId="21" fillId="0" borderId="0" xfId="0" applyNumberFormat="1" applyFont="1" applyAlignment="1">
      <alignment horizontal="center"/>
    </xf>
    <xf numFmtId="165" fontId="1" fillId="0" borderId="13" xfId="0" applyNumberFormat="1" applyFont="1" applyFill="1" applyBorder="1" applyAlignment="1">
      <alignment horizontal="center"/>
    </xf>
    <xf numFmtId="169" fontId="22" fillId="0" borderId="0" xfId="0" applyNumberFormat="1" applyFont="1" applyAlignment="1">
      <alignment horizontal="left"/>
    </xf>
    <xf numFmtId="165" fontId="6" fillId="0" borderId="0" xfId="0" applyNumberFormat="1" applyFont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Font="1" applyFill="1"/>
    <xf numFmtId="165" fontId="10" fillId="0" borderId="0" xfId="0" applyNumberFormat="1" applyFont="1" applyFill="1"/>
    <xf numFmtId="165" fontId="10" fillId="0" borderId="0" xfId="0" applyNumberFormat="1" applyFont="1" applyFill="1" applyAlignment="1">
      <alignment horizontal="center"/>
    </xf>
    <xf numFmtId="169" fontId="22" fillId="0" borderId="0" xfId="0" applyNumberFormat="1" applyFont="1" applyFill="1" applyAlignment="1">
      <alignment horizontal="left"/>
    </xf>
    <xf numFmtId="169" fontId="10" fillId="0" borderId="0" xfId="0" applyNumberFormat="1" applyFont="1" applyFill="1" applyAlignment="1">
      <alignment horizontal="center"/>
    </xf>
    <xf numFmtId="165" fontId="10" fillId="0" borderId="0" xfId="0" applyNumberFormat="1" applyFont="1" applyFill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/>
    <xf numFmtId="165" fontId="23" fillId="0" borderId="0" xfId="0" applyNumberFormat="1" applyFont="1"/>
    <xf numFmtId="165" fontId="23" fillId="0" borderId="0" xfId="0" applyNumberFormat="1" applyFont="1" applyAlignment="1">
      <alignment horizontal="center"/>
    </xf>
    <xf numFmtId="169" fontId="23" fillId="5" borderId="0" xfId="0" applyNumberFormat="1" applyFont="1" applyFill="1" applyAlignment="1">
      <alignment horizontal="center"/>
    </xf>
    <xf numFmtId="165" fontId="23" fillId="5" borderId="0" xfId="0" applyNumberFormat="1" applyFont="1" applyFill="1" applyAlignment="1">
      <alignment horizontal="center"/>
    </xf>
    <xf numFmtId="169" fontId="23" fillId="0" borderId="0" xfId="0" applyNumberFormat="1" applyFont="1" applyAlignment="1">
      <alignment horizontal="center"/>
    </xf>
    <xf numFmtId="169" fontId="10" fillId="5" borderId="0" xfId="0" applyNumberFormat="1" applyFont="1" applyFill="1" applyAlignment="1">
      <alignment horizontal="left"/>
    </xf>
    <xf numFmtId="169" fontId="18" fillId="0" borderId="0" xfId="0" applyNumberFormat="1" applyFont="1" applyFill="1" applyAlignment="1">
      <alignment horizontal="left"/>
    </xf>
    <xf numFmtId="0" fontId="25" fillId="0" borderId="0" xfId="0" applyFont="1" applyFill="1" applyAlignment="1">
      <alignment horizontal="left"/>
    </xf>
    <xf numFmtId="0" fontId="25" fillId="0" borderId="0" xfId="0" applyFont="1" applyFill="1"/>
    <xf numFmtId="165" fontId="25" fillId="0" borderId="0" xfId="0" applyNumberFormat="1" applyFont="1" applyFill="1"/>
    <xf numFmtId="165" fontId="25" fillId="0" borderId="0" xfId="0" applyNumberFormat="1" applyFont="1" applyFill="1" applyAlignment="1">
      <alignment horizontal="center"/>
    </xf>
    <xf numFmtId="169" fontId="25" fillId="0" borderId="0" xfId="0" applyNumberFormat="1" applyFont="1" applyFill="1" applyAlignment="1">
      <alignment horizontal="center"/>
    </xf>
    <xf numFmtId="165" fontId="25" fillId="0" borderId="0" xfId="0" applyNumberFormat="1" applyFont="1" applyFill="1" applyAlignment="1">
      <alignment horizontal="left"/>
    </xf>
    <xf numFmtId="165" fontId="10" fillId="7" borderId="0" xfId="0" applyNumberFormat="1" applyFont="1" applyFill="1" applyAlignment="1">
      <alignment horizontal="left"/>
    </xf>
    <xf numFmtId="169" fontId="10" fillId="7" borderId="0" xfId="0" applyNumberFormat="1" applyFont="1" applyFill="1" applyAlignment="1">
      <alignment horizontal="center"/>
    </xf>
    <xf numFmtId="165" fontId="10" fillId="7" borderId="0" xfId="0" applyNumberFormat="1" applyFont="1" applyFill="1" applyAlignment="1">
      <alignment horizontal="center"/>
    </xf>
    <xf numFmtId="169" fontId="1" fillId="7" borderId="6" xfId="0" applyNumberFormat="1" applyFont="1" applyFill="1" applyBorder="1" applyAlignment="1">
      <alignment horizontal="center"/>
    </xf>
    <xf numFmtId="171" fontId="0" fillId="5" borderId="6" xfId="0" applyNumberFormat="1" applyFill="1" applyBorder="1" applyAlignment="1">
      <alignment horizontal="center"/>
    </xf>
    <xf numFmtId="165" fontId="0" fillId="5" borderId="6" xfId="0" applyNumberFormat="1" applyFill="1" applyBorder="1" applyAlignment="1">
      <alignment horizontal="center"/>
    </xf>
    <xf numFmtId="172" fontId="24" fillId="0" borderId="0" xfId="0" applyNumberFormat="1" applyFont="1" applyBorder="1" applyAlignment="1">
      <alignment horizontal="center" vertical="center" textRotation="90" wrapText="1"/>
    </xf>
    <xf numFmtId="172" fontId="24" fillId="0" borderId="0" xfId="0" applyNumberFormat="1" applyFont="1" applyBorder="1" applyAlignment="1">
      <alignment vertical="center" textRotation="90" wrapText="1"/>
    </xf>
    <xf numFmtId="169" fontId="23" fillId="5" borderId="0" xfId="0" applyNumberFormat="1" applyFont="1" applyFill="1" applyAlignment="1">
      <alignment horizontal="left"/>
    </xf>
    <xf numFmtId="165" fontId="23" fillId="7" borderId="0" xfId="0" applyNumberFormat="1" applyFont="1" applyFill="1" applyAlignment="1">
      <alignment horizontal="center"/>
    </xf>
    <xf numFmtId="0" fontId="23" fillId="7" borderId="0" xfId="0" applyFont="1" applyFill="1"/>
    <xf numFmtId="0" fontId="17" fillId="0" borderId="0" xfId="0" applyFont="1" applyFill="1" applyAlignment="1">
      <alignment horizontal="left"/>
    </xf>
    <xf numFmtId="0" fontId="17" fillId="0" borderId="0" xfId="0" applyFont="1" applyFill="1"/>
    <xf numFmtId="165" fontId="17" fillId="0" borderId="0" xfId="0" applyNumberFormat="1" applyFont="1" applyFill="1"/>
    <xf numFmtId="165" fontId="17" fillId="0" borderId="0" xfId="0" applyNumberFormat="1" applyFont="1" applyFill="1" applyAlignment="1">
      <alignment horizontal="center"/>
    </xf>
    <xf numFmtId="169" fontId="17" fillId="0" borderId="0" xfId="0" applyNumberFormat="1" applyFont="1" applyFill="1" applyAlignment="1">
      <alignment horizontal="left"/>
    </xf>
    <xf numFmtId="169" fontId="17" fillId="0" borderId="0" xfId="0" applyNumberFormat="1" applyFont="1" applyFill="1" applyAlignment="1">
      <alignment horizontal="center"/>
    </xf>
    <xf numFmtId="0" fontId="0" fillId="3" borderId="0" xfId="0" applyFill="1" applyAlignment="1">
      <alignment horizontal="left"/>
    </xf>
    <xf numFmtId="0" fontId="23" fillId="3" borderId="0" xfId="0" applyFont="1" applyFill="1" applyAlignment="1">
      <alignment horizontal="left"/>
    </xf>
    <xf numFmtId="0" fontId="23" fillId="2" borderId="0" xfId="0" applyFont="1" applyFill="1"/>
    <xf numFmtId="172" fontId="0" fillId="3" borderId="0" xfId="0" applyNumberFormat="1" applyFill="1"/>
    <xf numFmtId="172" fontId="23" fillId="3" borderId="0" xfId="0" applyNumberFormat="1" applyFont="1" applyFill="1"/>
    <xf numFmtId="169" fontId="1" fillId="6" borderId="6" xfId="0" applyNumberFormat="1" applyFont="1" applyFill="1" applyBorder="1" applyAlignment="1">
      <alignment horizontal="center"/>
    </xf>
    <xf numFmtId="167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169" fontId="6" fillId="0" borderId="11" xfId="0" applyNumberFormat="1" applyFont="1" applyBorder="1" applyAlignment="1">
      <alignment horizontal="center"/>
    </xf>
    <xf numFmtId="169" fontId="6" fillId="0" borderId="10" xfId="0" applyNumberFormat="1" applyFont="1" applyBorder="1" applyAlignment="1">
      <alignment horizontal="center"/>
    </xf>
    <xf numFmtId="169" fontId="6" fillId="0" borderId="12" xfId="0" applyNumberFormat="1" applyFont="1" applyBorder="1" applyAlignment="1">
      <alignment horizontal="center"/>
    </xf>
    <xf numFmtId="169" fontId="6" fillId="5" borderId="11" xfId="0" applyNumberFormat="1" applyFont="1" applyFill="1" applyBorder="1" applyAlignment="1">
      <alignment horizontal="center"/>
    </xf>
    <xf numFmtId="169" fontId="6" fillId="5" borderId="10" xfId="0" applyNumberFormat="1" applyFont="1" applyFill="1" applyBorder="1" applyAlignment="1">
      <alignment horizontal="center"/>
    </xf>
    <xf numFmtId="169" fontId="6" fillId="5" borderId="12" xfId="0" applyNumberFormat="1" applyFont="1" applyFill="1" applyBorder="1" applyAlignment="1">
      <alignment horizontal="center"/>
    </xf>
    <xf numFmtId="169" fontId="6" fillId="0" borderId="11" xfId="0" applyNumberFormat="1" applyFont="1" applyFill="1" applyBorder="1" applyAlignment="1">
      <alignment horizontal="center"/>
    </xf>
    <xf numFmtId="169" fontId="6" fillId="0" borderId="10" xfId="0" applyNumberFormat="1" applyFont="1" applyFill="1" applyBorder="1" applyAlignment="1">
      <alignment horizontal="center"/>
    </xf>
    <xf numFmtId="169" fontId="6" fillId="0" borderId="12" xfId="0" applyNumberFormat="1" applyFont="1" applyFill="1" applyBorder="1" applyAlignment="1">
      <alignment horizontal="center"/>
    </xf>
    <xf numFmtId="172" fontId="24" fillId="0" borderId="0" xfId="0" applyNumberFormat="1" applyFont="1" applyBorder="1" applyAlignment="1">
      <alignment horizontal="center" vertical="center" textRotation="90" wrapText="1"/>
    </xf>
    <xf numFmtId="165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13" fillId="2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78649-039F-4299-9CD3-1388BAA4888D}">
  <dimension ref="A4:F19"/>
  <sheetViews>
    <sheetView workbookViewId="0"/>
  </sheetViews>
  <sheetFormatPr baseColWidth="10" defaultRowHeight="15" x14ac:dyDescent="0.25"/>
  <cols>
    <col min="3" max="3" width="17.28515625" style="126" customWidth="1"/>
    <col min="4" max="4" width="10.28515625" style="66" customWidth="1"/>
    <col min="5" max="5" width="11.140625" style="29" customWidth="1"/>
    <col min="6" max="6" width="11.42578125" style="26"/>
  </cols>
  <sheetData>
    <row r="4" spans="1:6" s="3" customFormat="1" ht="26.25" x14ac:dyDescent="0.4">
      <c r="A4" s="3" t="s">
        <v>41</v>
      </c>
      <c r="C4" s="127"/>
      <c r="D4" s="64"/>
      <c r="E4" s="30"/>
      <c r="F4" s="25"/>
    </row>
    <row r="6" spans="1:6" x14ac:dyDescent="0.25">
      <c r="D6" s="279" t="s">
        <v>91</v>
      </c>
      <c r="E6" s="279"/>
    </row>
    <row r="7" spans="1:6" s="4" customFormat="1" ht="45.75" thickBot="1" x14ac:dyDescent="0.3">
      <c r="B7" s="4" t="s">
        <v>20</v>
      </c>
      <c r="C7" s="20" t="s">
        <v>54</v>
      </c>
      <c r="D7" s="65" t="s">
        <v>92</v>
      </c>
      <c r="E7" s="28" t="s">
        <v>93</v>
      </c>
      <c r="F7" s="37" t="s">
        <v>94</v>
      </c>
    </row>
    <row r="8" spans="1:6" x14ac:dyDescent="0.25">
      <c r="B8" s="6"/>
      <c r="C8" s="19"/>
      <c r="D8" s="128"/>
      <c r="E8" s="129"/>
      <c r="F8" s="61"/>
    </row>
    <row r="9" spans="1:6" x14ac:dyDescent="0.25">
      <c r="B9" s="9" t="s">
        <v>33</v>
      </c>
      <c r="C9" s="130">
        <v>0.16500000000000001</v>
      </c>
      <c r="D9" s="131">
        <f>109.77/60</f>
        <v>1.8294999999999999</v>
      </c>
      <c r="E9" s="132">
        <f>D9*60</f>
        <v>109.77</v>
      </c>
      <c r="F9" s="62">
        <f>LN(2)/E9</f>
        <v>6.3145411365577598E-3</v>
      </c>
    </row>
    <row r="10" spans="1:6" x14ac:dyDescent="0.25">
      <c r="B10" s="9" t="s">
        <v>35</v>
      </c>
      <c r="C10" s="130">
        <v>4.65E-2</v>
      </c>
      <c r="D10" s="131">
        <v>13.2</v>
      </c>
      <c r="E10" s="132">
        <f t="shared" ref="E10:E19" si="0">D10*60</f>
        <v>792</v>
      </c>
      <c r="F10" s="62">
        <f t="shared" ref="F10:F19" si="1">LN(2)/E10</f>
        <v>8.7518583404033496E-4</v>
      </c>
    </row>
    <row r="11" spans="1:6" x14ac:dyDescent="0.25">
      <c r="B11" s="9" t="s">
        <v>42</v>
      </c>
      <c r="C11" s="130">
        <v>0.18099999999999999</v>
      </c>
      <c r="D11" s="131">
        <f>4.18*24</f>
        <v>100.32</v>
      </c>
      <c r="E11" s="132">
        <f t="shared" si="0"/>
        <v>6019.2</v>
      </c>
      <c r="F11" s="62">
        <f t="shared" si="1"/>
        <v>1.1515603079478092E-4</v>
      </c>
    </row>
    <row r="12" spans="1:6" x14ac:dyDescent="0.25">
      <c r="B12" s="9" t="s">
        <v>43</v>
      </c>
      <c r="C12" s="130">
        <v>3.5400000000000001E-2</v>
      </c>
      <c r="D12" s="131">
        <f>60.14*24</f>
        <v>1443.3600000000001</v>
      </c>
      <c r="E12" s="132">
        <f t="shared" si="0"/>
        <v>86601.600000000006</v>
      </c>
      <c r="F12" s="62">
        <f t="shared" si="1"/>
        <v>8.0038611360522816E-6</v>
      </c>
    </row>
    <row r="13" spans="1:6" x14ac:dyDescent="0.25">
      <c r="B13" s="9" t="s">
        <v>44</v>
      </c>
      <c r="C13" s="130">
        <v>7.8E-2</v>
      </c>
      <c r="D13" s="131">
        <f>13.02*24</f>
        <v>312.48</v>
      </c>
      <c r="E13" s="132">
        <f t="shared" si="0"/>
        <v>18748.800000000003</v>
      </c>
      <c r="F13" s="62">
        <f t="shared" si="1"/>
        <v>3.6970215723670061E-5</v>
      </c>
    </row>
    <row r="14" spans="1:6" x14ac:dyDescent="0.25">
      <c r="B14" s="9" t="s">
        <v>45</v>
      </c>
      <c r="C14" s="130">
        <v>6.6000000000000003E-2</v>
      </c>
      <c r="D14" s="131">
        <f>8.04*24</f>
        <v>192.95999999999998</v>
      </c>
      <c r="E14" s="132">
        <f t="shared" si="0"/>
        <v>11577.599999999999</v>
      </c>
      <c r="F14" s="62">
        <f t="shared" si="1"/>
        <v>5.9869677701764212E-5</v>
      </c>
    </row>
    <row r="15" spans="1:6" x14ac:dyDescent="0.25">
      <c r="B15" s="9" t="s">
        <v>46</v>
      </c>
      <c r="C15" s="130">
        <v>9.2999999999999999E-2</v>
      </c>
      <c r="D15" s="131">
        <v>20.8</v>
      </c>
      <c r="E15" s="132">
        <f t="shared" si="0"/>
        <v>1248</v>
      </c>
      <c r="F15" s="62">
        <f t="shared" si="1"/>
        <v>5.5540639467944336E-4</v>
      </c>
    </row>
    <row r="16" spans="1:6" x14ac:dyDescent="0.25">
      <c r="B16" s="9" t="s">
        <v>47</v>
      </c>
      <c r="C16" s="130">
        <v>0.89100000000000001</v>
      </c>
      <c r="D16" s="131">
        <f>2.83*24</f>
        <v>67.92</v>
      </c>
      <c r="E16" s="132">
        <f t="shared" si="0"/>
        <v>4075.2000000000003</v>
      </c>
      <c r="F16" s="62">
        <f t="shared" si="1"/>
        <v>1.7008911968981774E-4</v>
      </c>
    </row>
    <row r="17" spans="2:6" x14ac:dyDescent="0.25">
      <c r="B17" s="9" t="s">
        <v>48</v>
      </c>
      <c r="C17" s="130">
        <v>4.4999999999999998E-2</v>
      </c>
      <c r="D17" s="131">
        <v>65.94</v>
      </c>
      <c r="E17" s="132">
        <f t="shared" si="0"/>
        <v>3956.3999999999996</v>
      </c>
      <c r="F17" s="62">
        <f t="shared" si="1"/>
        <v>1.7519643629560847E-4</v>
      </c>
    </row>
    <row r="18" spans="2:6" x14ac:dyDescent="0.25">
      <c r="B18" s="9" t="s">
        <v>34</v>
      </c>
      <c r="C18" s="130">
        <v>2.1600000000000001E-2</v>
      </c>
      <c r="D18" s="131">
        <v>6.02</v>
      </c>
      <c r="E18" s="132">
        <f t="shared" si="0"/>
        <v>361.2</v>
      </c>
      <c r="F18" s="62">
        <f t="shared" si="1"/>
        <v>1.9190121277960833E-3</v>
      </c>
    </row>
    <row r="19" spans="2:6" x14ac:dyDescent="0.25">
      <c r="B19" s="9" t="s">
        <v>49</v>
      </c>
      <c r="C19" s="130">
        <v>1.7500000000000002E-2</v>
      </c>
      <c r="D19" s="131">
        <f>3.044*24</f>
        <v>73.055999999999997</v>
      </c>
      <c r="E19" s="132">
        <f t="shared" si="0"/>
        <v>4383.3599999999997</v>
      </c>
      <c r="F19" s="62">
        <f t="shared" si="1"/>
        <v>1.5813147461306973E-4</v>
      </c>
    </row>
  </sheetData>
  <mergeCells count="1">
    <mergeCell ref="D6:E6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08129-5264-4EE5-9271-CFC92ADA1E12}">
  <dimension ref="B2:AU28"/>
  <sheetViews>
    <sheetView workbookViewId="0">
      <selection activeCell="M7" sqref="M7"/>
    </sheetView>
  </sheetViews>
  <sheetFormatPr baseColWidth="10" defaultColWidth="7.7109375" defaultRowHeight="15" x14ac:dyDescent="0.25"/>
  <cols>
    <col min="1" max="1" width="3.85546875" customWidth="1"/>
    <col min="2" max="2" width="6" style="13" customWidth="1"/>
    <col min="3" max="3" width="18.140625" customWidth="1"/>
    <col min="8" max="8" width="11.28515625" customWidth="1"/>
    <col min="9" max="9" width="7.7109375" style="15"/>
    <col min="10" max="10" width="7.7109375" style="31"/>
    <col min="11" max="11" width="12.5703125" style="33" customWidth="1"/>
    <col min="12" max="12" width="6.85546875" style="33" customWidth="1"/>
    <col min="13" max="42" width="5.7109375" style="33" customWidth="1"/>
    <col min="43" max="43" width="5.7109375" customWidth="1"/>
  </cols>
  <sheetData>
    <row r="2" spans="2:47" ht="15.75" thickBot="1" x14ac:dyDescent="0.3"/>
    <row r="3" spans="2:47" ht="27.75" thickTop="1" thickBot="1" x14ac:dyDescent="0.45">
      <c r="B3" s="11" t="s">
        <v>7</v>
      </c>
      <c r="I3" s="151" t="s">
        <v>95</v>
      </c>
      <c r="J3" s="134" t="s">
        <v>96</v>
      </c>
    </row>
    <row r="4" spans="2:47" s="4" customFormat="1" ht="15.75" thickTop="1" x14ac:dyDescent="0.25">
      <c r="B4" s="12"/>
      <c r="D4" s="280" t="s">
        <v>11</v>
      </c>
      <c r="E4" s="280"/>
      <c r="F4" s="280"/>
      <c r="G4" s="280" t="s">
        <v>8</v>
      </c>
      <c r="H4" s="280"/>
      <c r="I4" s="117"/>
      <c r="J4" s="133"/>
      <c r="AT4"/>
      <c r="AU4"/>
    </row>
    <row r="5" spans="2:47" ht="45.75" thickBot="1" x14ac:dyDescent="0.3">
      <c r="B5" s="13" t="s">
        <v>1</v>
      </c>
      <c r="C5" t="s">
        <v>2</v>
      </c>
      <c r="D5" s="2" t="s">
        <v>12</v>
      </c>
      <c r="E5" s="2" t="s">
        <v>13</v>
      </c>
      <c r="F5" s="2" t="s">
        <v>14</v>
      </c>
      <c r="G5" t="s">
        <v>9</v>
      </c>
      <c r="H5" s="2" t="s">
        <v>10</v>
      </c>
      <c r="I5" s="152" t="s">
        <v>70</v>
      </c>
      <c r="J5" s="88" t="s">
        <v>71</v>
      </c>
      <c r="K5"/>
      <c r="AT5" s="80">
        <f>B16</f>
        <v>0</v>
      </c>
    </row>
    <row r="6" spans="2:47" x14ac:dyDescent="0.25">
      <c r="B6" s="59">
        <v>1</v>
      </c>
      <c r="C6" s="41" t="s">
        <v>108</v>
      </c>
      <c r="D6" s="41">
        <v>2.5</v>
      </c>
      <c r="E6" s="41">
        <v>2.5</v>
      </c>
      <c r="F6" s="41">
        <v>0.8</v>
      </c>
      <c r="G6" s="41"/>
      <c r="H6" s="41"/>
      <c r="I6" s="50">
        <f>'Position-Details'!D117</f>
        <v>1.5322755145749249</v>
      </c>
      <c r="J6" s="50">
        <v>0.59</v>
      </c>
      <c r="K6"/>
    </row>
    <row r="7" spans="2:47" x14ac:dyDescent="0.25">
      <c r="B7" s="60">
        <v>2</v>
      </c>
      <c r="C7" s="43" t="s">
        <v>109</v>
      </c>
      <c r="D7" s="43">
        <v>-2</v>
      </c>
      <c r="E7" s="43">
        <v>2.5</v>
      </c>
      <c r="F7" s="43">
        <v>0.8</v>
      </c>
      <c r="G7" s="43"/>
      <c r="H7" s="43"/>
      <c r="I7" s="107"/>
      <c r="J7" s="107">
        <v>0.02</v>
      </c>
      <c r="K7"/>
    </row>
    <row r="8" spans="2:47" x14ac:dyDescent="0.25">
      <c r="B8" s="60">
        <v>3</v>
      </c>
      <c r="C8" s="43" t="s">
        <v>110</v>
      </c>
      <c r="D8" s="43">
        <v>6.3</v>
      </c>
      <c r="E8" s="43">
        <v>2.5</v>
      </c>
      <c r="F8" s="43">
        <v>0.8</v>
      </c>
      <c r="G8" s="43"/>
      <c r="H8" s="43"/>
      <c r="I8" s="107"/>
      <c r="J8" s="107">
        <v>0.03</v>
      </c>
      <c r="K8"/>
    </row>
    <row r="9" spans="2:47" x14ac:dyDescent="0.25">
      <c r="B9" s="60">
        <v>4</v>
      </c>
      <c r="C9" s="43" t="s">
        <v>111</v>
      </c>
      <c r="D9" s="43">
        <v>2</v>
      </c>
      <c r="E9" s="43">
        <v>7.5</v>
      </c>
      <c r="F9" s="43">
        <v>0.8</v>
      </c>
      <c r="G9" s="43"/>
      <c r="H9" s="43"/>
      <c r="I9" s="107"/>
      <c r="J9" s="107">
        <v>0.01</v>
      </c>
      <c r="K9"/>
    </row>
    <row r="10" spans="2:47" x14ac:dyDescent="0.25">
      <c r="B10" s="60">
        <v>5</v>
      </c>
      <c r="C10" s="43" t="s">
        <v>112</v>
      </c>
      <c r="D10" s="43">
        <v>2.5</v>
      </c>
      <c r="E10" s="43">
        <v>7.5</v>
      </c>
      <c r="F10" s="43">
        <v>0.8</v>
      </c>
      <c r="G10" s="43"/>
      <c r="H10" s="43"/>
      <c r="I10" s="107"/>
      <c r="J10" s="107">
        <v>0.01</v>
      </c>
      <c r="K10"/>
    </row>
    <row r="11" spans="2:47" x14ac:dyDescent="0.25">
      <c r="B11" s="60">
        <v>6</v>
      </c>
      <c r="C11" s="43" t="s">
        <v>113</v>
      </c>
      <c r="D11" s="43">
        <v>3</v>
      </c>
      <c r="E11" s="43">
        <v>7.5</v>
      </c>
      <c r="F11" s="43">
        <v>0.8</v>
      </c>
      <c r="G11" s="43"/>
      <c r="H11" s="43"/>
      <c r="I11" s="107"/>
      <c r="J11" s="107">
        <v>0.01</v>
      </c>
      <c r="K11"/>
    </row>
    <row r="12" spans="2:47" x14ac:dyDescent="0.25">
      <c r="B12" s="60">
        <v>7</v>
      </c>
      <c r="C12" s="43" t="s">
        <v>114</v>
      </c>
      <c r="D12" s="43">
        <v>2.5</v>
      </c>
      <c r="E12" s="43">
        <v>-4</v>
      </c>
      <c r="F12" s="43">
        <v>0.8</v>
      </c>
      <c r="G12" s="57"/>
      <c r="H12" s="57"/>
      <c r="I12" s="107"/>
      <c r="J12" s="107">
        <v>1E-3</v>
      </c>
      <c r="K12"/>
    </row>
    <row r="13" spans="2:47" x14ac:dyDescent="0.25">
      <c r="B13" s="60">
        <v>8</v>
      </c>
      <c r="C13" s="43" t="s">
        <v>115</v>
      </c>
      <c r="D13" s="43">
        <v>1</v>
      </c>
      <c r="E13" s="43">
        <v>-2</v>
      </c>
      <c r="F13" s="43">
        <v>0.8</v>
      </c>
      <c r="G13" s="57"/>
      <c r="H13" s="57"/>
      <c r="I13" s="107"/>
      <c r="J13" s="107">
        <v>0.01</v>
      </c>
      <c r="K13"/>
    </row>
    <row r="14" spans="2:47" x14ac:dyDescent="0.25">
      <c r="B14" s="60">
        <v>9</v>
      </c>
      <c r="C14" s="43" t="s">
        <v>116</v>
      </c>
      <c r="D14" s="43">
        <v>4</v>
      </c>
      <c r="E14" s="43">
        <v>-2</v>
      </c>
      <c r="F14" s="43">
        <v>0.8</v>
      </c>
      <c r="G14" s="57"/>
      <c r="H14" s="57"/>
      <c r="I14" s="107"/>
      <c r="J14" s="107">
        <v>1E-3</v>
      </c>
      <c r="K14"/>
    </row>
    <row r="15" spans="2:47" x14ac:dyDescent="0.25">
      <c r="B15" s="60">
        <v>10</v>
      </c>
      <c r="C15" s="43" t="s">
        <v>117</v>
      </c>
      <c r="D15" s="43">
        <v>4</v>
      </c>
      <c r="E15" s="43">
        <v>7.5</v>
      </c>
      <c r="F15" s="43">
        <v>0.8</v>
      </c>
      <c r="G15" s="57"/>
      <c r="H15" s="57"/>
      <c r="I15" s="107"/>
      <c r="J15" s="107">
        <v>0.01</v>
      </c>
      <c r="K15"/>
    </row>
    <row r="17" spans="3:7" x14ac:dyDescent="0.25">
      <c r="C17" s="57" t="s">
        <v>97</v>
      </c>
    </row>
    <row r="18" spans="3:7" x14ac:dyDescent="0.25">
      <c r="C18" s="57" t="s">
        <v>100</v>
      </c>
      <c r="G18" s="135" t="s">
        <v>98</v>
      </c>
    </row>
    <row r="19" spans="3:7" x14ac:dyDescent="0.25">
      <c r="G19" t="s">
        <v>99</v>
      </c>
    </row>
    <row r="22" spans="3:7" x14ac:dyDescent="0.25">
      <c r="C22" t="s">
        <v>101</v>
      </c>
      <c r="G22" t="s">
        <v>102</v>
      </c>
    </row>
    <row r="23" spans="3:7" x14ac:dyDescent="0.25">
      <c r="G23" t="s">
        <v>103</v>
      </c>
    </row>
    <row r="24" spans="3:7" x14ac:dyDescent="0.25">
      <c r="G24" t="s">
        <v>122</v>
      </c>
    </row>
    <row r="25" spans="3:7" x14ac:dyDescent="0.25">
      <c r="G25" t="s">
        <v>104</v>
      </c>
    </row>
    <row r="26" spans="3:7" x14ac:dyDescent="0.25">
      <c r="G26" t="s">
        <v>105</v>
      </c>
    </row>
    <row r="27" spans="3:7" x14ac:dyDescent="0.25">
      <c r="G27" t="s">
        <v>106</v>
      </c>
    </row>
    <row r="28" spans="3:7" x14ac:dyDescent="0.25">
      <c r="G28" t="s">
        <v>107</v>
      </c>
    </row>
  </sheetData>
  <mergeCells count="2">
    <mergeCell ref="G4:H4"/>
    <mergeCell ref="D4:F4"/>
  </mergeCells>
  <phoneticPr fontId="14" type="noConversion"/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85A0E-AE76-407D-B5B0-800A893C8906}">
  <dimension ref="B2:BU124"/>
  <sheetViews>
    <sheetView topLeftCell="A82" zoomScale="75" zoomScaleNormal="75" workbookViewId="0">
      <selection activeCell="B112" sqref="B112"/>
    </sheetView>
  </sheetViews>
  <sheetFormatPr baseColWidth="10" defaultColWidth="7.7109375" defaultRowHeight="15" x14ac:dyDescent="0.25"/>
  <cols>
    <col min="1" max="1" width="3.85546875" customWidth="1"/>
    <col min="2" max="2" width="6" style="13" customWidth="1"/>
    <col min="3" max="3" width="18.140625" customWidth="1"/>
    <col min="4" max="4" width="10.85546875" style="15" bestFit="1" customWidth="1"/>
    <col min="5" max="5" width="12" style="33" customWidth="1"/>
    <col min="6" max="7" width="5.140625" style="160" customWidth="1"/>
    <col min="8" max="8" width="6.5703125" style="160" customWidth="1"/>
    <col min="9" max="9" width="10.28515625" style="33" customWidth="1"/>
    <col min="10" max="10" width="9" style="33" customWidth="1"/>
    <col min="11" max="11" width="5.140625" style="160" customWidth="1"/>
    <col min="12" max="12" width="5.5703125" style="160" customWidth="1"/>
    <col min="13" max="13" width="6.5703125" style="160" customWidth="1"/>
    <col min="14" max="14" width="10.28515625" style="33" customWidth="1"/>
    <col min="15" max="15" width="10.7109375" style="33" customWidth="1"/>
    <col min="16" max="16" width="5.140625" style="160" customWidth="1"/>
    <col min="17" max="17" width="5.5703125" style="160" customWidth="1"/>
    <col min="18" max="18" width="6.5703125" style="160" customWidth="1"/>
    <col min="19" max="19" width="9.28515625" style="33" customWidth="1"/>
    <col min="20" max="20" width="10.28515625" style="33" customWidth="1"/>
    <col min="21" max="21" width="5.140625" style="160" customWidth="1"/>
    <col min="22" max="22" width="5.5703125" style="160" customWidth="1"/>
    <col min="23" max="23" width="6.5703125" style="160" customWidth="1"/>
    <col min="24" max="24" width="10.28515625" style="33" customWidth="1"/>
    <col min="25" max="25" width="10.5703125" style="33" customWidth="1"/>
    <col min="26" max="26" width="5.140625" style="160" customWidth="1"/>
    <col min="27" max="27" width="5.5703125" style="160" customWidth="1"/>
    <col min="28" max="28" width="6.5703125" style="160" customWidth="1"/>
    <col min="29" max="29" width="9.5703125" style="33" customWidth="1"/>
    <col min="30" max="30" width="12.28515625" style="33" customWidth="1"/>
    <col min="31" max="31" width="5.140625" style="160" customWidth="1"/>
    <col min="32" max="32" width="5.5703125" style="160" customWidth="1"/>
    <col min="33" max="33" width="6.5703125" style="160" customWidth="1"/>
    <col min="34" max="34" width="10.28515625" style="33" customWidth="1"/>
    <col min="35" max="35" width="14.7109375" style="33" customWidth="1"/>
    <col min="36" max="36" width="5.140625" style="160" customWidth="1"/>
    <col min="37" max="37" width="5.5703125" style="160" customWidth="1"/>
    <col min="38" max="38" width="6.5703125" style="160" customWidth="1"/>
    <col min="39" max="39" width="12.28515625" style="33" customWidth="1"/>
    <col min="40" max="40" width="10.28515625" style="33" customWidth="1"/>
    <col min="41" max="41" width="5.140625" style="160" customWidth="1"/>
    <col min="42" max="42" width="5.5703125" style="160" customWidth="1"/>
    <col min="43" max="43" width="6.5703125" style="160" customWidth="1"/>
    <col min="44" max="44" width="9" style="33" customWidth="1"/>
    <col min="45" max="45" width="12.140625" style="33" customWidth="1"/>
    <col min="46" max="46" width="5.140625" style="160" customWidth="1"/>
    <col min="47" max="47" width="5.5703125" style="160" customWidth="1"/>
    <col min="48" max="48" width="6.5703125" style="160" customWidth="1"/>
    <col min="49" max="49" width="9.85546875" style="33" customWidth="1"/>
    <col min="50" max="50" width="11.28515625" style="33" customWidth="1"/>
    <col min="51" max="69" width="5.7109375" style="33" customWidth="1"/>
    <col min="70" max="70" width="5.7109375" customWidth="1"/>
  </cols>
  <sheetData>
    <row r="2" spans="2:73" ht="30.75" x14ac:dyDescent="0.7">
      <c r="E2" s="215" t="s">
        <v>144</v>
      </c>
      <c r="F2" s="215"/>
      <c r="G2" s="215"/>
      <c r="H2" s="215"/>
      <c r="I2" s="215"/>
      <c r="J2" s="215"/>
      <c r="K2" s="215"/>
    </row>
    <row r="3" spans="2:73" ht="36" customHeight="1" x14ac:dyDescent="0.25"/>
    <row r="4" spans="2:73" ht="26.25" x14ac:dyDescent="0.4">
      <c r="F4" s="232" t="s">
        <v>139</v>
      </c>
    </row>
    <row r="5" spans="2:73" ht="18.75" x14ac:dyDescent="0.3">
      <c r="F5" s="183" t="s">
        <v>140</v>
      </c>
    </row>
    <row r="6" spans="2:73" ht="18.75" x14ac:dyDescent="0.3">
      <c r="F6" s="183" t="s">
        <v>141</v>
      </c>
    </row>
    <row r="7" spans="2:73" s="4" customFormat="1" ht="26.25" x14ac:dyDescent="0.4">
      <c r="B7" s="216" t="s">
        <v>7</v>
      </c>
      <c r="D7" s="206"/>
      <c r="E7" s="217"/>
      <c r="F7" s="219"/>
      <c r="G7" s="218"/>
      <c r="H7" s="218">
        <v>2</v>
      </c>
      <c r="I7" s="218"/>
      <c r="J7" s="36"/>
      <c r="K7" s="36"/>
      <c r="L7" s="218"/>
      <c r="M7" s="218">
        <v>3</v>
      </c>
      <c r="N7" s="218"/>
      <c r="O7" s="36"/>
      <c r="P7" s="36"/>
      <c r="Q7" s="218"/>
      <c r="R7" s="218">
        <v>4</v>
      </c>
      <c r="S7" s="218"/>
      <c r="T7" s="36"/>
      <c r="U7" s="36"/>
      <c r="V7" s="218"/>
      <c r="W7" s="218">
        <v>5</v>
      </c>
      <c r="X7" s="218"/>
      <c r="Y7" s="36"/>
      <c r="Z7" s="36"/>
      <c r="AA7" s="218"/>
      <c r="AB7" s="218">
        <v>6</v>
      </c>
      <c r="AC7" s="218"/>
      <c r="AD7" s="36"/>
      <c r="AE7" s="36"/>
      <c r="AF7" s="218"/>
      <c r="AG7" s="218">
        <v>7</v>
      </c>
      <c r="AH7" s="218"/>
      <c r="AI7" s="36"/>
      <c r="AJ7" s="36"/>
      <c r="AK7" s="218"/>
      <c r="AL7" s="218">
        <v>8</v>
      </c>
      <c r="AM7" s="218"/>
      <c r="AN7" s="36"/>
      <c r="AO7" s="36"/>
      <c r="AP7" s="218"/>
      <c r="AQ7" s="218">
        <v>9</v>
      </c>
      <c r="AR7" s="218"/>
      <c r="AS7" s="36"/>
      <c r="AT7" s="36"/>
      <c r="AU7" s="218"/>
      <c r="AV7" s="218">
        <v>10</v>
      </c>
      <c r="AW7" s="218"/>
      <c r="AX7" s="36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</row>
    <row r="8" spans="2:73" s="16" customFormat="1" ht="27" thickBot="1" x14ac:dyDescent="0.45">
      <c r="B8" s="216"/>
      <c r="D8" s="36"/>
      <c r="E8" s="233"/>
      <c r="F8" s="281" t="s">
        <v>109</v>
      </c>
      <c r="G8" s="282"/>
      <c r="H8" s="282"/>
      <c r="I8" s="282"/>
      <c r="J8" s="283"/>
      <c r="K8" s="281" t="s">
        <v>138</v>
      </c>
      <c r="L8" s="282"/>
      <c r="M8" s="282"/>
      <c r="N8" s="282"/>
      <c r="O8" s="283"/>
      <c r="P8" s="281" t="s">
        <v>111</v>
      </c>
      <c r="Q8" s="282"/>
      <c r="R8" s="282"/>
      <c r="S8" s="282"/>
      <c r="T8" s="283"/>
      <c r="U8" s="281" t="s">
        <v>123</v>
      </c>
      <c r="V8" s="282"/>
      <c r="W8" s="282"/>
      <c r="X8" s="282"/>
      <c r="Y8" s="283"/>
      <c r="Z8" s="281" t="s">
        <v>113</v>
      </c>
      <c r="AA8" s="282"/>
      <c r="AB8" s="282"/>
      <c r="AC8" s="282"/>
      <c r="AD8" s="283"/>
      <c r="AE8" s="281" t="s">
        <v>114</v>
      </c>
      <c r="AF8" s="282"/>
      <c r="AG8" s="282"/>
      <c r="AH8" s="282"/>
      <c r="AI8" s="283"/>
      <c r="AJ8" s="281" t="s">
        <v>115</v>
      </c>
      <c r="AK8" s="282"/>
      <c r="AL8" s="282"/>
      <c r="AM8" s="282"/>
      <c r="AN8" s="283"/>
      <c r="AO8" s="281" t="s">
        <v>116</v>
      </c>
      <c r="AP8" s="282"/>
      <c r="AQ8" s="282"/>
      <c r="AR8" s="282"/>
      <c r="AS8" s="283"/>
      <c r="AT8" s="282" t="s">
        <v>117</v>
      </c>
      <c r="AU8" s="282"/>
      <c r="AV8" s="282"/>
      <c r="AW8" s="282"/>
      <c r="AX8" s="282"/>
      <c r="BT8" s="3"/>
      <c r="BU8" s="3"/>
    </row>
    <row r="9" spans="2:73" ht="46.5" thickTop="1" thickBot="1" x14ac:dyDescent="0.3">
      <c r="B9" s="13" t="s">
        <v>1</v>
      </c>
      <c r="C9" t="s">
        <v>2</v>
      </c>
      <c r="D9" s="152" t="s">
        <v>70</v>
      </c>
      <c r="E9" s="185"/>
      <c r="F9" s="171" t="s">
        <v>127</v>
      </c>
      <c r="G9" s="210" t="s">
        <v>145</v>
      </c>
      <c r="H9" s="210" t="s">
        <v>146</v>
      </c>
      <c r="I9" s="162" t="s">
        <v>128</v>
      </c>
      <c r="J9" s="172" t="s">
        <v>129</v>
      </c>
      <c r="K9" s="171" t="s">
        <v>127</v>
      </c>
      <c r="L9" s="210" t="s">
        <v>145</v>
      </c>
      <c r="M9" s="210" t="s">
        <v>146</v>
      </c>
      <c r="N9" s="162" t="s">
        <v>128</v>
      </c>
      <c r="O9" s="172" t="s">
        <v>129</v>
      </c>
      <c r="P9" s="171" t="s">
        <v>127</v>
      </c>
      <c r="Q9" s="210" t="s">
        <v>145</v>
      </c>
      <c r="R9" s="210" t="s">
        <v>146</v>
      </c>
      <c r="S9" s="162" t="s">
        <v>128</v>
      </c>
      <c r="T9" s="172" t="s">
        <v>129</v>
      </c>
      <c r="U9" s="171" t="s">
        <v>127</v>
      </c>
      <c r="V9" s="210" t="s">
        <v>145</v>
      </c>
      <c r="W9" s="210" t="s">
        <v>146</v>
      </c>
      <c r="X9" s="162" t="s">
        <v>128</v>
      </c>
      <c r="Y9" s="172" t="s">
        <v>129</v>
      </c>
      <c r="Z9" s="171" t="s">
        <v>127</v>
      </c>
      <c r="AA9" s="210" t="s">
        <v>145</v>
      </c>
      <c r="AB9" s="210" t="s">
        <v>146</v>
      </c>
      <c r="AC9" s="162" t="s">
        <v>128</v>
      </c>
      <c r="AD9" s="172" t="s">
        <v>129</v>
      </c>
      <c r="AE9" s="171" t="s">
        <v>127</v>
      </c>
      <c r="AF9" s="210" t="s">
        <v>145</v>
      </c>
      <c r="AG9" s="210" t="s">
        <v>146</v>
      </c>
      <c r="AH9" s="162" t="s">
        <v>128</v>
      </c>
      <c r="AI9" s="172" t="s">
        <v>129</v>
      </c>
      <c r="AJ9" s="171" t="s">
        <v>127</v>
      </c>
      <c r="AK9" s="210" t="s">
        <v>145</v>
      </c>
      <c r="AL9" s="210" t="s">
        <v>146</v>
      </c>
      <c r="AM9" s="162" t="s">
        <v>128</v>
      </c>
      <c r="AN9" s="172" t="s">
        <v>129</v>
      </c>
      <c r="AO9" s="171" t="s">
        <v>127</v>
      </c>
      <c r="AP9" s="210" t="s">
        <v>145</v>
      </c>
      <c r="AQ9" s="210" t="s">
        <v>146</v>
      </c>
      <c r="AR9" s="162" t="s">
        <v>128</v>
      </c>
      <c r="AS9" s="172" t="s">
        <v>129</v>
      </c>
      <c r="AT9" s="161" t="s">
        <v>127</v>
      </c>
      <c r="AU9" s="210" t="s">
        <v>145</v>
      </c>
      <c r="AV9" s="210" t="s">
        <v>146</v>
      </c>
      <c r="AW9" s="162" t="s">
        <v>128</v>
      </c>
      <c r="AX9" s="162" t="s">
        <v>129</v>
      </c>
      <c r="BU9" s="80">
        <f>B24</f>
        <v>0</v>
      </c>
    </row>
    <row r="10" spans="2:73" ht="15.75" thickTop="1" x14ac:dyDescent="0.25">
      <c r="B10" s="222">
        <v>1</v>
      </c>
      <c r="C10" s="223" t="s">
        <v>108</v>
      </c>
      <c r="D10" s="224"/>
      <c r="E10" s="175"/>
      <c r="F10" s="173">
        <f>'Quell-Details'!B14</f>
        <v>2</v>
      </c>
      <c r="G10" s="174">
        <f>'Quell-Details'!D14</f>
        <v>1</v>
      </c>
      <c r="H10" s="174">
        <f>'Quell-Details'!B17</f>
        <v>1</v>
      </c>
      <c r="I10" s="175">
        <f>'Quell-Details'!I17</f>
        <v>0.22710755813953487</v>
      </c>
      <c r="J10" s="176">
        <f>I10/AbstandsTab!C6^2/AbstandsTab!G23</f>
        <v>2.1567669338987167E-3</v>
      </c>
      <c r="K10" s="173">
        <f>'Quell-Details'!B20</f>
        <v>3</v>
      </c>
      <c r="L10" s="174">
        <f>'Quell-Details'!D20</f>
        <v>5</v>
      </c>
      <c r="M10" s="174">
        <f>'Quell-Details'!B23</f>
        <v>1</v>
      </c>
      <c r="N10" s="175">
        <f>'Quell-Details'!I23</f>
        <v>7.992</v>
      </c>
      <c r="O10" s="176">
        <f>N10/AbstandsTab!C7^2/AbstandsTab!H24</f>
        <v>2.7673130193905823E-7</v>
      </c>
      <c r="P10" s="173">
        <f>'Quell-Details'!B20</f>
        <v>3</v>
      </c>
      <c r="Q10" s="174">
        <f>'Quell-Details'!D20</f>
        <v>5</v>
      </c>
      <c r="R10" s="174">
        <f>'Quell-Details'!B24</f>
        <v>2</v>
      </c>
      <c r="S10" s="175">
        <f>'Quell-Details'!I24</f>
        <v>7.9156829940340145</v>
      </c>
      <c r="T10" s="176">
        <f>S10/AbstandsTab!C8^2/AbstandsTab!H25</f>
        <v>1.8440729164901607E-8</v>
      </c>
      <c r="U10" s="173">
        <f>'Quell-Details'!B27</f>
        <v>4</v>
      </c>
      <c r="V10" s="174">
        <f>'Quell-Details'!D27</f>
        <v>2</v>
      </c>
      <c r="W10" s="174">
        <f>'Quell-Details'!B31</f>
        <v>2</v>
      </c>
      <c r="X10" s="175">
        <f>'Quell-Details'!I31</f>
        <v>61.050000000000004</v>
      </c>
      <c r="Y10" s="176">
        <f>X10/AbstandsTab!C9^2/AbstandsTab!I25</f>
        <v>0.24666666666666667</v>
      </c>
      <c r="Z10" s="173">
        <f>'Quell-Details'!B36</f>
        <v>5</v>
      </c>
      <c r="AA10" s="174">
        <f>'Quell-Details'!D36</f>
        <v>2</v>
      </c>
      <c r="AB10" s="174">
        <f>'Quell-Details'!B40</f>
        <v>2</v>
      </c>
      <c r="AC10" s="175">
        <f>'Quell-Details'!I40</f>
        <v>106.92</v>
      </c>
      <c r="AD10" s="176">
        <f>AC10/AbstandsTab!C10^2/AbstandsTab!J25</f>
        <v>4.6712139498560996E-3</v>
      </c>
      <c r="AE10" s="173">
        <f>'Quell-Details'!B6</f>
        <v>1</v>
      </c>
      <c r="AF10" s="174">
        <f>'Quell-Details'!D6</f>
        <v>1</v>
      </c>
      <c r="AG10" s="174">
        <f>'Quell-Details'!B9</f>
        <v>1</v>
      </c>
      <c r="AH10" s="175">
        <f>'Quell-Details'!I9</f>
        <v>33</v>
      </c>
      <c r="AI10" s="176">
        <f>AH10/AbstandsTab!C11^2/AbstandsTab!F22</f>
        <v>0.2789518174133559</v>
      </c>
      <c r="AJ10" s="173">
        <f>'Quell-Details'!B6</f>
        <v>1</v>
      </c>
      <c r="AK10" s="174">
        <f>'Quell-Details'!D6</f>
        <v>1</v>
      </c>
      <c r="AL10" s="174">
        <f>'Quell-Details'!B10</f>
        <v>2</v>
      </c>
      <c r="AM10" s="175">
        <f>'Quell-Details'!I10</f>
        <v>33</v>
      </c>
      <c r="AN10" s="176">
        <f>AM10/AbstandsTab!C12^2/AbstandsTab!F22</f>
        <v>0.52380952380952384</v>
      </c>
      <c r="AO10" s="173">
        <f>'Quell-Details'!B6</f>
        <v>1</v>
      </c>
      <c r="AP10" s="174">
        <f>'Quell-Details'!D6</f>
        <v>1</v>
      </c>
      <c r="AQ10" s="174">
        <f>'Quell-Details'!B11</f>
        <v>3</v>
      </c>
      <c r="AR10" s="175">
        <f>'Quell-Details'!I11</f>
        <v>33</v>
      </c>
      <c r="AS10" s="176">
        <f>AR10/AbstandsTab!C13^2/AbstandsTab!F22</f>
        <v>0.52380952380952384</v>
      </c>
      <c r="AT10" s="160">
        <f>'Quell-Details'!B27</f>
        <v>4</v>
      </c>
      <c r="AU10" s="160">
        <f>'Quell-Details'!D27</f>
        <v>2</v>
      </c>
      <c r="AV10" s="160">
        <f>'Quell-Details'!B32</f>
        <v>3</v>
      </c>
      <c r="AW10" s="33">
        <f>'Quell-Details'!I32</f>
        <v>61.050000000000004</v>
      </c>
      <c r="AX10" s="33">
        <f>AW10/AbstandsTab!C14^2/AbstandsTab!I25</f>
        <v>0.22629969418960241</v>
      </c>
    </row>
    <row r="11" spans="2:73" x14ac:dyDescent="0.25">
      <c r="B11" s="60"/>
      <c r="C11" s="43"/>
      <c r="D11" s="51"/>
      <c r="E11" s="175"/>
      <c r="F11" s="173"/>
      <c r="G11" s="174"/>
      <c r="H11" s="174"/>
      <c r="I11" s="175"/>
      <c r="J11" s="176"/>
      <c r="K11" s="173">
        <f>'Quell-Details'!B27</f>
        <v>4</v>
      </c>
      <c r="L11" s="174">
        <f>'Quell-Details'!D27</f>
        <v>2</v>
      </c>
      <c r="M11" s="174">
        <f>'Quell-Details'!B30</f>
        <v>1</v>
      </c>
      <c r="N11" s="175">
        <f>'Quell-Details'!I30</f>
        <v>61.050000000000004</v>
      </c>
      <c r="O11" s="176">
        <f>N11/AbstandsTab!C7^2/AbstandsTab!I24</f>
        <v>0.75497130985358141</v>
      </c>
      <c r="P11" s="173">
        <f>'Quell-Details'!B44</f>
        <v>6</v>
      </c>
      <c r="Q11" s="174">
        <f>'Quell-Details'!D44</f>
        <v>3</v>
      </c>
      <c r="R11" s="174">
        <f>'Quell-Details'!B48</f>
        <v>2</v>
      </c>
      <c r="S11" s="175">
        <f>'Quell-Details'!I48</f>
        <v>6.9120000000000008</v>
      </c>
      <c r="T11" s="176">
        <f>S11/AbstandsTab!C8^2/AbstandsTab!K25</f>
        <v>1.6102504368083868E-8</v>
      </c>
      <c r="U11" s="173">
        <f>'Quell-Details'!B44</f>
        <v>6</v>
      </c>
      <c r="V11" s="174">
        <f>'Quell-Details'!D44</f>
        <v>3</v>
      </c>
      <c r="W11" s="174">
        <f>'Quell-Details'!B49</f>
        <v>3</v>
      </c>
      <c r="X11" s="175">
        <f>'Quell-Details'!I49</f>
        <v>6.9120000000000008</v>
      </c>
      <c r="Y11" s="176">
        <f>X11/AbstandsTab!C9^2/AbstandsTab!K25</f>
        <v>1.626352941176471E-8</v>
      </c>
      <c r="Z11" s="173">
        <f>'Quell-Details'!B44</f>
        <v>6</v>
      </c>
      <c r="AA11" s="174">
        <f>'Quell-Details'!D44</f>
        <v>3</v>
      </c>
      <c r="AB11" s="174">
        <f>'Quell-Details'!B50</f>
        <v>4</v>
      </c>
      <c r="AC11" s="175">
        <f>'Quell-Details'!I50</f>
        <v>6.9120000000000008</v>
      </c>
      <c r="AD11" s="176">
        <f>AC11/AbstandsTab!C10^2/AbstandsTab!K25</f>
        <v>1.6102504368083868E-8</v>
      </c>
      <c r="AE11" s="173"/>
      <c r="AF11" s="174"/>
      <c r="AG11" s="174"/>
      <c r="AH11" s="175"/>
      <c r="AI11" s="176"/>
      <c r="AJ11" s="173"/>
      <c r="AK11" s="174"/>
      <c r="AL11" s="174"/>
      <c r="AM11" s="175"/>
      <c r="AN11" s="176"/>
      <c r="AO11" s="173"/>
      <c r="AP11" s="174"/>
      <c r="AQ11" s="174"/>
      <c r="AR11" s="175"/>
      <c r="AS11" s="176"/>
      <c r="AT11" s="160">
        <f>'Quell-Details'!B44</f>
        <v>6</v>
      </c>
      <c r="AU11" s="160">
        <f>'Quell-Details'!D44</f>
        <v>3</v>
      </c>
      <c r="AV11" s="160">
        <f>'Quell-Details'!B51</f>
        <v>5</v>
      </c>
      <c r="AW11" s="33">
        <f>'Quell-Details'!I51</f>
        <v>6.9120000000000008</v>
      </c>
      <c r="AX11" s="33">
        <f>AW11/AbstandsTab!C14^2/AbstandsTab!K25</f>
        <v>1.4920669185105235E-8</v>
      </c>
    </row>
    <row r="12" spans="2:73" x14ac:dyDescent="0.25">
      <c r="B12" s="60"/>
      <c r="C12" s="43"/>
      <c r="D12" s="51"/>
      <c r="E12" s="175"/>
      <c r="F12" s="173"/>
      <c r="G12" s="174"/>
      <c r="H12" s="174"/>
      <c r="I12" s="175"/>
      <c r="J12" s="176"/>
      <c r="K12" s="173">
        <f>'Quell-Details'!B36</f>
        <v>5</v>
      </c>
      <c r="L12" s="174">
        <f>'Quell-Details'!D36</f>
        <v>2</v>
      </c>
      <c r="M12" s="174">
        <f>'Quell-Details'!B39</f>
        <v>1</v>
      </c>
      <c r="N12" s="175">
        <f>'Quell-Details'!I39</f>
        <v>106.92</v>
      </c>
      <c r="O12" s="176">
        <f>N12/AbstandsTab!C7^2/AbstandsTab!J24</f>
        <v>3.0877531830542072E-2</v>
      </c>
      <c r="P12" s="173"/>
      <c r="Q12" s="174"/>
      <c r="R12" s="174"/>
      <c r="S12" s="175"/>
      <c r="T12" s="176"/>
      <c r="U12" s="173"/>
      <c r="V12" s="174"/>
      <c r="W12" s="174"/>
      <c r="X12" s="175"/>
      <c r="Y12" s="176"/>
      <c r="Z12" s="173"/>
      <c r="AA12" s="174"/>
      <c r="AB12" s="174"/>
      <c r="AC12" s="175"/>
      <c r="AD12" s="176"/>
      <c r="AE12" s="173"/>
      <c r="AF12" s="174"/>
      <c r="AG12" s="174"/>
      <c r="AH12" s="175"/>
      <c r="AI12" s="176"/>
      <c r="AJ12" s="173"/>
      <c r="AK12" s="174"/>
      <c r="AL12" s="174"/>
      <c r="AM12" s="175"/>
      <c r="AN12" s="176"/>
      <c r="AO12" s="173"/>
      <c r="AP12" s="174"/>
      <c r="AQ12" s="174"/>
      <c r="AR12" s="175"/>
      <c r="AS12" s="176"/>
    </row>
    <row r="13" spans="2:73" x14ac:dyDescent="0.25">
      <c r="B13" s="60"/>
      <c r="C13" s="43"/>
      <c r="D13" s="51"/>
      <c r="E13" s="175"/>
      <c r="F13" s="173"/>
      <c r="G13" s="174"/>
      <c r="H13" s="174"/>
      <c r="I13" s="175"/>
      <c r="J13" s="176"/>
      <c r="K13" s="173">
        <f>'Quell-Details'!B44</f>
        <v>6</v>
      </c>
      <c r="L13" s="174">
        <f>'Quell-Details'!D44</f>
        <v>3</v>
      </c>
      <c r="M13" s="174">
        <f>'Quell-Details'!B47</f>
        <v>1</v>
      </c>
      <c r="N13" s="175">
        <f>'Quell-Details'!I47</f>
        <v>6.9120000000000008</v>
      </c>
      <c r="O13" s="176">
        <f>N13/AbstandsTab!C7^2/AbstandsTab!K24</f>
        <v>2.3933518005540168E-7</v>
      </c>
      <c r="P13" s="173"/>
      <c r="Q13" s="174"/>
      <c r="R13" s="174"/>
      <c r="S13" s="175"/>
      <c r="T13" s="176"/>
      <c r="U13" s="173"/>
      <c r="V13" s="174"/>
      <c r="W13" s="174"/>
      <c r="X13" s="175"/>
      <c r="Y13" s="176"/>
      <c r="Z13" s="173"/>
      <c r="AA13" s="174"/>
      <c r="AB13" s="174"/>
      <c r="AC13" s="175"/>
      <c r="AD13" s="176"/>
      <c r="AE13" s="173"/>
      <c r="AF13" s="174"/>
      <c r="AG13" s="174"/>
      <c r="AH13" s="175"/>
      <c r="AI13" s="176"/>
      <c r="AJ13" s="173"/>
      <c r="AK13" s="174"/>
      <c r="AL13" s="174"/>
      <c r="AM13" s="175"/>
      <c r="AN13" s="176"/>
      <c r="AO13" s="173"/>
      <c r="AP13" s="174"/>
      <c r="AQ13" s="174"/>
      <c r="AR13" s="175"/>
      <c r="AS13" s="176"/>
    </row>
    <row r="14" spans="2:73" x14ac:dyDescent="0.25">
      <c r="B14" s="60"/>
      <c r="C14" s="43"/>
      <c r="D14" s="51"/>
    </row>
    <row r="15" spans="2:73" x14ac:dyDescent="0.25">
      <c r="B15" s="60">
        <v>2</v>
      </c>
      <c r="C15" s="43" t="s">
        <v>109</v>
      </c>
      <c r="D15" s="107"/>
    </row>
    <row r="16" spans="2:73" ht="26.25" x14ac:dyDescent="0.4">
      <c r="B16" s="60">
        <v>3</v>
      </c>
      <c r="C16" s="43" t="s">
        <v>110</v>
      </c>
      <c r="D16" s="107"/>
      <c r="F16" s="232" t="s">
        <v>142</v>
      </c>
    </row>
    <row r="17" spans="2:73" ht="18.75" x14ac:dyDescent="0.3">
      <c r="B17" s="60">
        <v>4</v>
      </c>
      <c r="C17" s="43" t="s">
        <v>111</v>
      </c>
      <c r="D17" s="107"/>
      <c r="E17" s="178"/>
      <c r="F17" s="183" t="s">
        <v>153</v>
      </c>
    </row>
    <row r="18" spans="2:73" x14ac:dyDescent="0.25">
      <c r="B18" s="60">
        <v>5</v>
      </c>
      <c r="C18" s="43" t="s">
        <v>112</v>
      </c>
      <c r="D18" s="107"/>
    </row>
    <row r="19" spans="2:73" ht="26.25" x14ac:dyDescent="0.4">
      <c r="B19" s="60">
        <v>6</v>
      </c>
      <c r="C19" s="43" t="s">
        <v>113</v>
      </c>
      <c r="D19" s="107"/>
      <c r="F19" s="219"/>
      <c r="G19" s="218"/>
      <c r="H19" s="218">
        <v>2</v>
      </c>
      <c r="I19" s="218"/>
      <c r="J19" s="36"/>
      <c r="K19" s="36"/>
      <c r="L19" s="218"/>
      <c r="M19" s="218">
        <v>3</v>
      </c>
      <c r="N19" s="218"/>
      <c r="O19" s="36"/>
      <c r="P19" s="36"/>
      <c r="Q19" s="218"/>
      <c r="R19" s="218">
        <v>4</v>
      </c>
      <c r="S19" s="218"/>
      <c r="T19" s="36"/>
      <c r="U19" s="36"/>
      <c r="V19" s="218"/>
      <c r="W19" s="218">
        <v>5</v>
      </c>
      <c r="X19" s="218"/>
      <c r="Y19" s="36"/>
      <c r="Z19" s="36"/>
      <c r="AA19" s="218"/>
      <c r="AB19" s="218">
        <v>6</v>
      </c>
      <c r="AC19" s="218"/>
      <c r="AD19" s="36"/>
      <c r="AE19" s="36"/>
      <c r="AF19" s="218"/>
      <c r="AG19" s="218">
        <v>7</v>
      </c>
      <c r="AH19" s="218"/>
      <c r="AI19" s="36"/>
      <c r="AJ19" s="36"/>
      <c r="AK19" s="218"/>
      <c r="AL19" s="218">
        <v>8</v>
      </c>
      <c r="AM19" s="218"/>
      <c r="AN19" s="36"/>
      <c r="AO19" s="36"/>
      <c r="AP19" s="218"/>
      <c r="AQ19" s="218">
        <v>9</v>
      </c>
      <c r="AR19" s="218"/>
      <c r="AS19" s="36"/>
      <c r="AT19" s="36"/>
      <c r="AU19" s="218"/>
      <c r="AV19" s="218">
        <v>10</v>
      </c>
      <c r="AW19" s="218"/>
      <c r="AX19" s="36"/>
    </row>
    <row r="20" spans="2:73" ht="29.45" customHeight="1" thickBot="1" x14ac:dyDescent="0.45">
      <c r="B20" s="60">
        <v>7</v>
      </c>
      <c r="C20" s="43" t="s">
        <v>114</v>
      </c>
      <c r="D20" s="107"/>
      <c r="F20" s="281" t="s">
        <v>109</v>
      </c>
      <c r="G20" s="282"/>
      <c r="H20" s="282"/>
      <c r="I20" s="282"/>
      <c r="J20" s="283"/>
      <c r="K20" s="281" t="s">
        <v>138</v>
      </c>
      <c r="L20" s="282"/>
      <c r="M20" s="282"/>
      <c r="N20" s="282"/>
      <c r="O20" s="283"/>
      <c r="P20" s="281" t="s">
        <v>111</v>
      </c>
      <c r="Q20" s="282"/>
      <c r="R20" s="282"/>
      <c r="S20" s="282"/>
      <c r="T20" s="283"/>
      <c r="U20" s="281" t="s">
        <v>123</v>
      </c>
      <c r="V20" s="282"/>
      <c r="W20" s="282"/>
      <c r="X20" s="282"/>
      <c r="Y20" s="283"/>
      <c r="Z20" s="281" t="s">
        <v>113</v>
      </c>
      <c r="AA20" s="282"/>
      <c r="AB20" s="282"/>
      <c r="AC20" s="282"/>
      <c r="AD20" s="283"/>
      <c r="AE20" s="281" t="s">
        <v>114</v>
      </c>
      <c r="AF20" s="282"/>
      <c r="AG20" s="282"/>
      <c r="AH20" s="282"/>
      <c r="AI20" s="283"/>
      <c r="AJ20" s="281" t="s">
        <v>115</v>
      </c>
      <c r="AK20" s="282"/>
      <c r="AL20" s="282"/>
      <c r="AM20" s="282"/>
      <c r="AN20" s="283"/>
      <c r="AO20" s="281" t="s">
        <v>116</v>
      </c>
      <c r="AP20" s="282"/>
      <c r="AQ20" s="282"/>
      <c r="AR20" s="282"/>
      <c r="AS20" s="283"/>
      <c r="AT20" s="282" t="s">
        <v>117</v>
      </c>
      <c r="AU20" s="282"/>
      <c r="AV20" s="282"/>
      <c r="AW20" s="282"/>
      <c r="AX20" s="282"/>
      <c r="AY20" s="4"/>
      <c r="AZ20" s="4"/>
      <c r="BA20" s="4"/>
      <c r="BB20" s="4"/>
    </row>
    <row r="21" spans="2:73" ht="46.5" thickTop="1" thickBot="1" x14ac:dyDescent="0.3">
      <c r="B21" s="60">
        <v>8</v>
      </c>
      <c r="C21" s="43" t="s">
        <v>115</v>
      </c>
      <c r="D21" s="107"/>
      <c r="E21" s="225"/>
      <c r="F21" s="208" t="s">
        <v>127</v>
      </c>
      <c r="G21" s="210" t="s">
        <v>145</v>
      </c>
      <c r="H21" s="210" t="s">
        <v>146</v>
      </c>
      <c r="I21" s="162" t="s">
        <v>128</v>
      </c>
      <c r="J21" s="172" t="s">
        <v>129</v>
      </c>
      <c r="K21" s="208" t="s">
        <v>127</v>
      </c>
      <c r="L21" s="210" t="s">
        <v>145</v>
      </c>
      <c r="M21" s="210" t="s">
        <v>146</v>
      </c>
      <c r="N21" s="162" t="s">
        <v>128</v>
      </c>
      <c r="O21" s="172" t="s">
        <v>129</v>
      </c>
      <c r="P21" s="208" t="s">
        <v>127</v>
      </c>
      <c r="Q21" s="210" t="s">
        <v>145</v>
      </c>
      <c r="R21" s="210" t="s">
        <v>146</v>
      </c>
      <c r="S21" s="162" t="s">
        <v>128</v>
      </c>
      <c r="T21" s="172" t="s">
        <v>129</v>
      </c>
      <c r="U21" s="208" t="s">
        <v>127</v>
      </c>
      <c r="V21" s="210" t="s">
        <v>145</v>
      </c>
      <c r="W21" s="210" t="s">
        <v>146</v>
      </c>
      <c r="X21" s="162" t="s">
        <v>128</v>
      </c>
      <c r="Y21" s="172" t="s">
        <v>129</v>
      </c>
      <c r="Z21" s="208" t="s">
        <v>127</v>
      </c>
      <c r="AA21" s="210" t="s">
        <v>145</v>
      </c>
      <c r="AB21" s="210" t="s">
        <v>146</v>
      </c>
      <c r="AC21" s="162" t="s">
        <v>128</v>
      </c>
      <c r="AD21" s="172" t="s">
        <v>129</v>
      </c>
      <c r="AE21" s="208" t="s">
        <v>127</v>
      </c>
      <c r="AF21" s="210" t="s">
        <v>145</v>
      </c>
      <c r="AG21" s="210" t="s">
        <v>146</v>
      </c>
      <c r="AH21" s="162" t="s">
        <v>128</v>
      </c>
      <c r="AI21" s="172" t="s">
        <v>129</v>
      </c>
      <c r="AJ21" s="208" t="s">
        <v>127</v>
      </c>
      <c r="AK21" s="210" t="s">
        <v>145</v>
      </c>
      <c r="AL21" s="210" t="s">
        <v>146</v>
      </c>
      <c r="AM21" s="162" t="s">
        <v>128</v>
      </c>
      <c r="AN21" s="172" t="s">
        <v>129</v>
      </c>
      <c r="AO21" s="208" t="s">
        <v>127</v>
      </c>
      <c r="AP21" s="210" t="s">
        <v>145</v>
      </c>
      <c r="AQ21" s="210" t="s">
        <v>146</v>
      </c>
      <c r="AR21" s="162" t="s">
        <v>128</v>
      </c>
      <c r="AS21" s="172" t="s">
        <v>129</v>
      </c>
      <c r="AT21" s="209" t="s">
        <v>127</v>
      </c>
      <c r="AU21" s="210" t="s">
        <v>145</v>
      </c>
      <c r="AV21" s="210" t="s">
        <v>146</v>
      </c>
      <c r="AW21" s="162" t="s">
        <v>128</v>
      </c>
      <c r="AX21" s="162" t="s">
        <v>129</v>
      </c>
    </row>
    <row r="22" spans="2:73" ht="19.5" customHeight="1" thickTop="1" x14ac:dyDescent="0.25">
      <c r="B22" s="60">
        <v>9</v>
      </c>
      <c r="C22" s="43" t="s">
        <v>116</v>
      </c>
      <c r="D22" s="107"/>
      <c r="E22" s="290" t="s">
        <v>154</v>
      </c>
      <c r="F22" s="173">
        <v>2</v>
      </c>
      <c r="G22" s="174">
        <v>1</v>
      </c>
      <c r="H22" s="174">
        <v>1</v>
      </c>
      <c r="I22" s="175">
        <v>0.22710755813953487</v>
      </c>
      <c r="J22" s="179">
        <v>2.1567669338987167E-3</v>
      </c>
      <c r="K22" s="173">
        <v>4</v>
      </c>
      <c r="L22" s="174">
        <v>2</v>
      </c>
      <c r="M22" s="174">
        <v>1</v>
      </c>
      <c r="N22" s="175">
        <v>61.050000000000004</v>
      </c>
      <c r="O22" s="179">
        <v>0.75497130985358141</v>
      </c>
      <c r="P22" s="173">
        <v>3</v>
      </c>
      <c r="Q22" s="174">
        <v>5</v>
      </c>
      <c r="R22" s="174">
        <v>2</v>
      </c>
      <c r="S22" s="175">
        <v>7.9156829940340145</v>
      </c>
      <c r="T22" s="179">
        <v>1.8440729164901607E-8</v>
      </c>
      <c r="U22" s="173">
        <v>4</v>
      </c>
      <c r="V22" s="174">
        <v>2</v>
      </c>
      <c r="W22" s="174">
        <v>2</v>
      </c>
      <c r="X22" s="175">
        <v>61.050000000000004</v>
      </c>
      <c r="Y22" s="179">
        <v>0.24666666666666667</v>
      </c>
      <c r="Z22" s="173">
        <v>5</v>
      </c>
      <c r="AA22" s="174">
        <v>2</v>
      </c>
      <c r="AB22" s="174">
        <v>2</v>
      </c>
      <c r="AC22" s="175">
        <v>106.92</v>
      </c>
      <c r="AD22" s="179">
        <v>4.6712139498560996E-3</v>
      </c>
      <c r="AE22" s="173">
        <v>1</v>
      </c>
      <c r="AF22" s="174">
        <v>1</v>
      </c>
      <c r="AG22" s="174">
        <v>1</v>
      </c>
      <c r="AH22" s="175">
        <v>33</v>
      </c>
      <c r="AI22" s="179">
        <v>0.2789518174133559</v>
      </c>
      <c r="AJ22" s="173">
        <v>1</v>
      </c>
      <c r="AK22" s="174">
        <v>1</v>
      </c>
      <c r="AL22" s="174">
        <v>2</v>
      </c>
      <c r="AM22" s="175">
        <v>33</v>
      </c>
      <c r="AN22" s="179">
        <v>0.52380952380952384</v>
      </c>
      <c r="AO22" s="173">
        <v>1</v>
      </c>
      <c r="AP22" s="174">
        <v>1</v>
      </c>
      <c r="AQ22" s="174">
        <v>3</v>
      </c>
      <c r="AR22" s="175">
        <v>33</v>
      </c>
      <c r="AS22" s="179">
        <v>0.52380952380952384</v>
      </c>
      <c r="AT22" s="160">
        <v>4</v>
      </c>
      <c r="AU22" s="160">
        <v>2</v>
      </c>
      <c r="AV22" s="160">
        <v>3</v>
      </c>
      <c r="AW22" s="33">
        <v>61.050000000000004</v>
      </c>
      <c r="AX22" s="180">
        <v>0.22629969418960241</v>
      </c>
    </row>
    <row r="23" spans="2:73" x14ac:dyDescent="0.25">
      <c r="B23" s="60">
        <v>10</v>
      </c>
      <c r="C23" s="43" t="s">
        <v>117</v>
      </c>
      <c r="D23" s="107"/>
      <c r="E23" s="290"/>
      <c r="F23" s="173"/>
      <c r="G23" s="174"/>
      <c r="H23" s="174"/>
      <c r="I23" s="175"/>
      <c r="J23" s="179"/>
      <c r="K23" s="173">
        <v>5</v>
      </c>
      <c r="L23" s="174">
        <v>2</v>
      </c>
      <c r="M23" s="174">
        <v>1</v>
      </c>
      <c r="N23" s="175">
        <v>106.92</v>
      </c>
      <c r="O23" s="179">
        <v>3.0877531830542072E-2</v>
      </c>
      <c r="P23" s="173">
        <v>6</v>
      </c>
      <c r="Q23" s="174">
        <v>3</v>
      </c>
      <c r="R23" s="174">
        <v>2</v>
      </c>
      <c r="S23" s="175">
        <v>6.9120000000000008</v>
      </c>
      <c r="T23" s="179">
        <v>1.6102504368083868E-8</v>
      </c>
      <c r="U23" s="173">
        <v>6</v>
      </c>
      <c r="V23" s="174">
        <v>3</v>
      </c>
      <c r="W23" s="174">
        <v>3</v>
      </c>
      <c r="X23" s="175">
        <v>6.9120000000000008</v>
      </c>
      <c r="Y23" s="179">
        <v>1.626352941176471E-8</v>
      </c>
      <c r="Z23" s="173">
        <v>6</v>
      </c>
      <c r="AA23" s="174">
        <v>3</v>
      </c>
      <c r="AB23" s="174">
        <v>4</v>
      </c>
      <c r="AC23" s="175">
        <v>6.9120000000000008</v>
      </c>
      <c r="AD23" s="179">
        <v>1.6102504368083868E-8</v>
      </c>
      <c r="AE23" s="173"/>
      <c r="AF23" s="174"/>
      <c r="AG23" s="174"/>
      <c r="AH23" s="175"/>
      <c r="AI23" s="179"/>
      <c r="AJ23" s="173"/>
      <c r="AK23" s="174"/>
      <c r="AL23" s="174"/>
      <c r="AM23" s="175"/>
      <c r="AN23" s="179"/>
      <c r="AO23" s="173"/>
      <c r="AP23" s="174"/>
      <c r="AQ23" s="174"/>
      <c r="AR23" s="175"/>
      <c r="AS23" s="179"/>
      <c r="AT23" s="160">
        <v>6</v>
      </c>
      <c r="AU23" s="160">
        <v>3</v>
      </c>
      <c r="AV23" s="160">
        <v>5</v>
      </c>
      <c r="AW23" s="33">
        <v>6.9120000000000008</v>
      </c>
      <c r="AX23" s="180">
        <v>1.4920669185105235E-8</v>
      </c>
    </row>
    <row r="24" spans="2:73" x14ac:dyDescent="0.25">
      <c r="E24" s="290"/>
      <c r="F24" s="173"/>
      <c r="G24" s="174"/>
      <c r="H24" s="174"/>
      <c r="I24" s="175"/>
      <c r="J24" s="179"/>
      <c r="K24" s="173">
        <v>3</v>
      </c>
      <c r="L24" s="174">
        <v>5</v>
      </c>
      <c r="M24" s="174">
        <v>1</v>
      </c>
      <c r="N24" s="175">
        <v>7.992</v>
      </c>
      <c r="O24" s="179">
        <v>2.7673130193905823E-7</v>
      </c>
      <c r="P24" s="173"/>
      <c r="Q24" s="174"/>
      <c r="R24" s="174"/>
      <c r="S24" s="175"/>
      <c r="T24" s="179"/>
      <c r="U24" s="173"/>
      <c r="V24" s="174"/>
      <c r="W24" s="174"/>
      <c r="X24" s="175"/>
      <c r="Y24" s="179"/>
      <c r="Z24" s="173"/>
      <c r="AA24" s="174"/>
      <c r="AB24" s="174"/>
      <c r="AC24" s="175"/>
      <c r="AD24" s="179"/>
      <c r="AE24" s="173"/>
      <c r="AF24" s="174"/>
      <c r="AG24" s="174"/>
      <c r="AH24" s="175"/>
      <c r="AI24" s="179"/>
      <c r="AJ24" s="173"/>
      <c r="AK24" s="174"/>
      <c r="AL24" s="174"/>
      <c r="AM24" s="175"/>
      <c r="AN24" s="179"/>
      <c r="AO24" s="173"/>
      <c r="AP24" s="174"/>
      <c r="AQ24" s="174"/>
      <c r="AR24" s="175"/>
      <c r="AS24" s="179"/>
      <c r="AX24" s="180"/>
    </row>
    <row r="25" spans="2:73" x14ac:dyDescent="0.25">
      <c r="C25" s="57"/>
      <c r="E25" s="290"/>
      <c r="F25" s="173"/>
      <c r="G25" s="174"/>
      <c r="H25" s="174"/>
      <c r="I25" s="175"/>
      <c r="J25" s="179"/>
      <c r="K25" s="173">
        <v>6</v>
      </c>
      <c r="L25" s="174">
        <v>3</v>
      </c>
      <c r="M25" s="174">
        <v>1</v>
      </c>
      <c r="N25" s="175">
        <v>6.9120000000000008</v>
      </c>
      <c r="O25" s="179">
        <v>2.3933518005540168E-7</v>
      </c>
      <c r="P25" s="173"/>
      <c r="Q25" s="174"/>
      <c r="R25" s="174"/>
      <c r="S25" s="175"/>
      <c r="T25" s="179"/>
      <c r="U25" s="173"/>
      <c r="V25" s="174"/>
      <c r="W25" s="174"/>
      <c r="X25" s="175"/>
      <c r="Y25" s="179"/>
      <c r="Z25" s="173"/>
      <c r="AA25" s="174"/>
      <c r="AB25" s="174"/>
      <c r="AC25" s="175"/>
      <c r="AD25" s="179"/>
      <c r="AE25" s="173"/>
      <c r="AF25" s="174"/>
      <c r="AG25" s="174"/>
      <c r="AH25" s="175"/>
      <c r="AI25" s="179"/>
      <c r="AJ25" s="173"/>
      <c r="AK25" s="174"/>
      <c r="AL25" s="174"/>
      <c r="AM25" s="175"/>
      <c r="AN25" s="179"/>
      <c r="AO25" s="173"/>
      <c r="AP25" s="174"/>
      <c r="AQ25" s="174"/>
      <c r="AR25" s="175"/>
      <c r="AS25" s="179"/>
      <c r="AX25" s="180"/>
    </row>
    <row r="26" spans="2:73" s="4" customFormat="1" x14ac:dyDescent="0.25">
      <c r="B26" s="12"/>
      <c r="D26" s="117"/>
      <c r="E26" s="290"/>
      <c r="F26" s="160"/>
      <c r="G26" s="160"/>
      <c r="H26" s="160"/>
      <c r="I26" s="33"/>
      <c r="J26" s="33"/>
      <c r="K26" s="160"/>
      <c r="L26" s="160"/>
      <c r="M26" s="160"/>
      <c r="N26" s="33"/>
      <c r="O26" s="33"/>
      <c r="P26" s="160"/>
      <c r="Q26" s="160"/>
      <c r="R26" s="160"/>
      <c r="S26" s="33"/>
      <c r="T26" s="33"/>
      <c r="U26" s="160"/>
      <c r="V26" s="160"/>
      <c r="W26" s="160"/>
      <c r="X26" s="33"/>
      <c r="Y26" s="33"/>
      <c r="Z26" s="160"/>
      <c r="AA26" s="160"/>
      <c r="AB26" s="160"/>
      <c r="AC26" s="33"/>
      <c r="AD26" s="33"/>
      <c r="AE26" s="160"/>
      <c r="AF26" s="160"/>
      <c r="AG26" s="160"/>
      <c r="AH26" s="33"/>
      <c r="AI26" s="33"/>
      <c r="AJ26" s="160"/>
      <c r="AK26" s="160"/>
      <c r="AL26" s="160"/>
      <c r="AM26" s="33"/>
      <c r="AN26" s="33"/>
      <c r="AO26" s="160"/>
      <c r="AP26" s="160"/>
      <c r="AQ26" s="160"/>
      <c r="AR26" s="33"/>
      <c r="AS26" s="33"/>
      <c r="AT26" s="160"/>
      <c r="AU26" s="160"/>
      <c r="AV26" s="160"/>
      <c r="AW26" s="33"/>
      <c r="AX26" s="33"/>
      <c r="AY26" s="33"/>
      <c r="AZ26" s="33"/>
      <c r="BA26" s="33"/>
      <c r="BB26" s="33"/>
      <c r="BT26"/>
      <c r="BU26"/>
    </row>
    <row r="27" spans="2:73" s="4" customFormat="1" ht="21" x14ac:dyDescent="0.35">
      <c r="B27" s="12"/>
      <c r="D27" s="117"/>
      <c r="E27" s="33"/>
      <c r="F27" s="182"/>
      <c r="G27" s="160"/>
      <c r="H27" s="160"/>
      <c r="I27" s="33"/>
      <c r="J27" s="33"/>
      <c r="K27" s="160"/>
      <c r="L27" s="160"/>
      <c r="M27" s="160"/>
      <c r="N27" s="33"/>
      <c r="O27" s="33"/>
      <c r="P27" s="160"/>
      <c r="Q27" s="160"/>
      <c r="R27" s="160"/>
      <c r="S27" s="33"/>
      <c r="T27" s="33"/>
      <c r="U27" s="160"/>
      <c r="V27" s="160"/>
      <c r="W27" s="160"/>
      <c r="X27" s="33"/>
      <c r="Y27" s="33"/>
      <c r="Z27" s="160"/>
      <c r="AA27" s="160"/>
      <c r="AB27" s="160"/>
      <c r="AC27" s="33"/>
      <c r="AD27" s="33"/>
      <c r="AE27" s="160"/>
      <c r="AF27" s="160"/>
      <c r="AG27" s="160"/>
      <c r="AH27" s="33"/>
      <c r="AI27" s="33"/>
      <c r="AJ27" s="160"/>
      <c r="AK27" s="160"/>
      <c r="AL27" s="160"/>
      <c r="AM27" s="33"/>
      <c r="AN27" s="33"/>
      <c r="AO27" s="160"/>
      <c r="AP27" s="160"/>
      <c r="AQ27" s="160"/>
      <c r="AR27" s="33"/>
      <c r="AS27" s="33"/>
      <c r="AT27" s="160"/>
      <c r="AU27" s="160"/>
      <c r="AV27" s="160"/>
      <c r="AW27" s="33"/>
      <c r="AX27" s="33"/>
      <c r="AY27" s="33"/>
      <c r="AZ27" s="33"/>
      <c r="BA27" s="33"/>
      <c r="BB27" s="33"/>
      <c r="BT27"/>
      <c r="BU27"/>
    </row>
    <row r="28" spans="2:73" s="4" customFormat="1" ht="26.25" x14ac:dyDescent="0.4">
      <c r="B28" s="12"/>
      <c r="D28" s="117"/>
      <c r="E28" s="33"/>
      <c r="F28" s="232" t="s">
        <v>143</v>
      </c>
      <c r="G28" s="160"/>
      <c r="H28" s="160"/>
      <c r="I28" s="33"/>
      <c r="J28" s="33"/>
      <c r="K28" s="160"/>
      <c r="L28" s="160"/>
      <c r="M28" s="160"/>
      <c r="N28" s="33"/>
      <c r="O28" s="33"/>
      <c r="P28" s="160"/>
      <c r="Q28" s="160"/>
      <c r="R28" s="160"/>
      <c r="S28" s="33"/>
      <c r="T28" s="33"/>
      <c r="U28" s="160"/>
      <c r="V28" s="160"/>
      <c r="W28" s="160"/>
      <c r="X28" s="33"/>
      <c r="Y28" s="33"/>
      <c r="Z28" s="160"/>
      <c r="AA28" s="160"/>
      <c r="AB28" s="160"/>
      <c r="AC28" s="33"/>
      <c r="AD28" s="33"/>
      <c r="AE28" s="160"/>
      <c r="AF28" s="160"/>
      <c r="AG28" s="160"/>
      <c r="AH28" s="33"/>
      <c r="AI28" s="33"/>
      <c r="AJ28" s="160"/>
      <c r="AK28" s="160"/>
      <c r="AL28" s="160"/>
      <c r="AM28" s="33"/>
      <c r="AN28" s="33"/>
      <c r="AO28" s="160"/>
      <c r="AP28" s="160"/>
      <c r="AQ28" s="160"/>
      <c r="AR28" s="33"/>
      <c r="AS28" s="33"/>
      <c r="AT28" s="160"/>
      <c r="AU28" s="160"/>
      <c r="AV28" s="160"/>
      <c r="AW28" s="33"/>
      <c r="AX28" s="33"/>
      <c r="AY28" s="33"/>
      <c r="AZ28" s="33"/>
      <c r="BA28" s="33"/>
      <c r="BB28" s="33"/>
      <c r="BT28"/>
      <c r="BU28"/>
    </row>
    <row r="29" spans="2:73" ht="18.75" x14ac:dyDescent="0.3">
      <c r="B29" s="12"/>
      <c r="C29" s="4"/>
      <c r="D29" s="117"/>
      <c r="F29" s="184" t="s">
        <v>158</v>
      </c>
      <c r="BU29" s="80">
        <f>B74</f>
        <v>0</v>
      </c>
    </row>
    <row r="30" spans="2:73" ht="18.75" x14ac:dyDescent="0.3">
      <c r="B30" s="12"/>
      <c r="C30" s="4"/>
      <c r="D30" s="117"/>
      <c r="F30" s="184" t="s">
        <v>156</v>
      </c>
      <c r="BU30" s="80"/>
    </row>
    <row r="31" spans="2:73" s="16" customFormat="1" ht="26.25" x14ac:dyDescent="0.4">
      <c r="B31" s="216"/>
      <c r="D31" s="36"/>
      <c r="E31" s="36"/>
      <c r="F31" s="220"/>
      <c r="G31" s="218"/>
      <c r="H31" s="218">
        <v>3</v>
      </c>
      <c r="I31" s="36"/>
      <c r="J31" s="36"/>
      <c r="K31" s="218"/>
      <c r="L31" s="218"/>
      <c r="M31" s="218">
        <v>8</v>
      </c>
      <c r="N31" s="36"/>
      <c r="O31" s="36"/>
      <c r="P31" s="218"/>
      <c r="Q31" s="218"/>
      <c r="R31" s="218">
        <v>9</v>
      </c>
      <c r="S31" s="36"/>
      <c r="T31" s="36"/>
      <c r="U31" s="218"/>
      <c r="V31" s="218"/>
      <c r="W31" s="218">
        <v>7</v>
      </c>
      <c r="X31" s="36"/>
      <c r="Y31" s="36"/>
      <c r="Z31" s="218"/>
      <c r="AA31" s="218"/>
      <c r="AB31" s="218">
        <v>5</v>
      </c>
      <c r="AC31" s="36"/>
      <c r="AD31" s="36"/>
      <c r="AE31" s="218"/>
      <c r="AF31" s="218"/>
      <c r="AG31" s="218">
        <v>10</v>
      </c>
      <c r="AH31" s="36"/>
      <c r="AI31" s="36"/>
      <c r="AJ31" s="218"/>
      <c r="AK31" s="218"/>
      <c r="AL31" s="218">
        <v>6</v>
      </c>
      <c r="AM31" s="36"/>
      <c r="AN31" s="36"/>
      <c r="AO31" s="218"/>
      <c r="AP31" s="218"/>
      <c r="AQ31" s="218">
        <v>2</v>
      </c>
      <c r="AR31" s="36"/>
      <c r="AS31" s="36"/>
      <c r="AT31" s="218"/>
      <c r="AU31" s="218"/>
      <c r="AV31" s="218">
        <v>4</v>
      </c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U31" s="221"/>
    </row>
    <row r="32" spans="2:73" ht="27" thickBot="1" x14ac:dyDescent="0.45">
      <c r="B32" s="12"/>
      <c r="C32" s="4"/>
      <c r="D32" s="117"/>
      <c r="E32"/>
      <c r="F32" s="284" t="s">
        <v>138</v>
      </c>
      <c r="G32" s="285"/>
      <c r="H32" s="285"/>
      <c r="I32" s="285"/>
      <c r="J32" s="286"/>
      <c r="K32" s="284" t="s">
        <v>115</v>
      </c>
      <c r="L32" s="285"/>
      <c r="M32" s="285"/>
      <c r="N32" s="285"/>
      <c r="O32" s="286"/>
      <c r="P32" s="284" t="s">
        <v>116</v>
      </c>
      <c r="Q32" s="285"/>
      <c r="R32" s="285"/>
      <c r="S32" s="285"/>
      <c r="T32" s="286"/>
      <c r="U32" s="284" t="s">
        <v>114</v>
      </c>
      <c r="V32" s="285"/>
      <c r="W32" s="285"/>
      <c r="X32" s="285"/>
      <c r="Y32" s="286"/>
      <c r="Z32" s="284" t="s">
        <v>123</v>
      </c>
      <c r="AA32" s="285"/>
      <c r="AB32" s="285"/>
      <c r="AC32" s="285"/>
      <c r="AD32" s="286"/>
      <c r="AE32" s="285" t="s">
        <v>117</v>
      </c>
      <c r="AF32" s="285"/>
      <c r="AG32" s="285"/>
      <c r="AH32" s="285"/>
      <c r="AI32" s="285"/>
      <c r="AJ32" s="284" t="s">
        <v>113</v>
      </c>
      <c r="AK32" s="285"/>
      <c r="AL32" s="285"/>
      <c r="AM32" s="285"/>
      <c r="AN32" s="286"/>
      <c r="AO32" s="284" t="s">
        <v>109</v>
      </c>
      <c r="AP32" s="285"/>
      <c r="AQ32" s="285"/>
      <c r="AR32" s="285"/>
      <c r="AS32" s="286"/>
      <c r="AT32" s="284" t="s">
        <v>111</v>
      </c>
      <c r="AU32" s="285"/>
      <c r="AV32" s="285"/>
      <c r="AW32" s="285"/>
      <c r="AX32" s="286"/>
      <c r="BR32" s="33"/>
    </row>
    <row r="33" spans="2:70" ht="46.5" thickTop="1" thickBot="1" x14ac:dyDescent="0.3">
      <c r="B33" s="13" t="s">
        <v>1</v>
      </c>
      <c r="C33" t="s">
        <v>2</v>
      </c>
      <c r="D33" s="152" t="s">
        <v>70</v>
      </c>
      <c r="E33"/>
      <c r="F33" s="208" t="s">
        <v>127</v>
      </c>
      <c r="G33" s="210" t="s">
        <v>145</v>
      </c>
      <c r="H33" s="210" t="s">
        <v>146</v>
      </c>
      <c r="I33" s="162" t="s">
        <v>128</v>
      </c>
      <c r="J33" s="172" t="s">
        <v>129</v>
      </c>
      <c r="K33" s="208" t="s">
        <v>127</v>
      </c>
      <c r="L33" s="210" t="s">
        <v>145</v>
      </c>
      <c r="M33" s="210" t="s">
        <v>146</v>
      </c>
      <c r="N33" s="162" t="s">
        <v>128</v>
      </c>
      <c r="O33" s="172" t="s">
        <v>129</v>
      </c>
      <c r="P33" s="208" t="s">
        <v>127</v>
      </c>
      <c r="Q33" s="210" t="s">
        <v>145</v>
      </c>
      <c r="R33" s="210" t="s">
        <v>146</v>
      </c>
      <c r="S33" s="162" t="s">
        <v>128</v>
      </c>
      <c r="T33" s="172" t="s">
        <v>129</v>
      </c>
      <c r="U33" s="208" t="s">
        <v>127</v>
      </c>
      <c r="V33" s="210" t="s">
        <v>145</v>
      </c>
      <c r="W33" s="210" t="s">
        <v>146</v>
      </c>
      <c r="X33" s="162" t="s">
        <v>128</v>
      </c>
      <c r="Y33" s="172" t="s">
        <v>129</v>
      </c>
      <c r="Z33" s="208" t="s">
        <v>127</v>
      </c>
      <c r="AA33" s="210" t="s">
        <v>145</v>
      </c>
      <c r="AB33" s="210" t="s">
        <v>146</v>
      </c>
      <c r="AC33" s="162" t="s">
        <v>128</v>
      </c>
      <c r="AD33" s="172" t="s">
        <v>129</v>
      </c>
      <c r="AE33" s="208" t="s">
        <v>127</v>
      </c>
      <c r="AF33" s="210" t="s">
        <v>145</v>
      </c>
      <c r="AG33" s="210" t="s">
        <v>146</v>
      </c>
      <c r="AH33" s="162" t="s">
        <v>128</v>
      </c>
      <c r="AI33" s="172" t="s">
        <v>129</v>
      </c>
      <c r="AJ33" s="208" t="s">
        <v>127</v>
      </c>
      <c r="AK33" s="210" t="s">
        <v>145</v>
      </c>
      <c r="AL33" s="210" t="s">
        <v>146</v>
      </c>
      <c r="AM33" s="162" t="s">
        <v>128</v>
      </c>
      <c r="AN33" s="172" t="s">
        <v>129</v>
      </c>
      <c r="AO33" s="208" t="s">
        <v>127</v>
      </c>
      <c r="AP33" s="210" t="s">
        <v>145</v>
      </c>
      <c r="AQ33" s="210" t="s">
        <v>146</v>
      </c>
      <c r="AR33" s="162" t="s">
        <v>128</v>
      </c>
      <c r="AS33" s="172" t="s">
        <v>129</v>
      </c>
      <c r="AT33" s="209" t="s">
        <v>127</v>
      </c>
      <c r="AU33" s="210" t="s">
        <v>145</v>
      </c>
      <c r="AV33" s="210" t="s">
        <v>146</v>
      </c>
      <c r="AW33" s="162" t="s">
        <v>128</v>
      </c>
      <c r="AX33" s="162" t="s">
        <v>129</v>
      </c>
      <c r="BR33" s="33"/>
    </row>
    <row r="34" spans="2:70" ht="15.75" thickTop="1" x14ac:dyDescent="0.25">
      <c r="B34" s="222">
        <v>1</v>
      </c>
      <c r="C34" s="223" t="s">
        <v>108</v>
      </c>
      <c r="D34" s="224"/>
      <c r="E34"/>
      <c r="F34" s="229">
        <v>4</v>
      </c>
      <c r="G34" s="202">
        <v>2</v>
      </c>
      <c r="H34" s="174">
        <v>1</v>
      </c>
      <c r="I34" s="175">
        <v>61.050000000000004</v>
      </c>
      <c r="J34" s="179">
        <v>0.75497130985358141</v>
      </c>
      <c r="K34" s="173">
        <v>1</v>
      </c>
      <c r="L34" s="174">
        <v>1</v>
      </c>
      <c r="M34" s="174">
        <v>2</v>
      </c>
      <c r="N34" s="175">
        <v>33</v>
      </c>
      <c r="O34" s="227">
        <v>0.52380952380952384</v>
      </c>
      <c r="P34" s="173">
        <v>1</v>
      </c>
      <c r="Q34" s="174">
        <v>1</v>
      </c>
      <c r="R34" s="174">
        <v>3</v>
      </c>
      <c r="S34" s="175">
        <v>33</v>
      </c>
      <c r="T34" s="181">
        <v>0.52380952380952384</v>
      </c>
      <c r="U34" s="173">
        <v>1</v>
      </c>
      <c r="V34" s="174">
        <v>1</v>
      </c>
      <c r="W34" s="174">
        <v>1</v>
      </c>
      <c r="X34" s="175">
        <v>33</v>
      </c>
      <c r="Y34" s="179">
        <v>0.2789518174133559</v>
      </c>
      <c r="Z34" s="229">
        <v>4</v>
      </c>
      <c r="AA34" s="202">
        <v>2</v>
      </c>
      <c r="AB34" s="174">
        <v>2</v>
      </c>
      <c r="AC34" s="175">
        <v>61.050000000000004</v>
      </c>
      <c r="AD34" s="179">
        <v>0.24666666666666667</v>
      </c>
      <c r="AE34" s="230">
        <v>4</v>
      </c>
      <c r="AF34" s="203">
        <v>2</v>
      </c>
      <c r="AG34" s="160">
        <v>3</v>
      </c>
      <c r="AH34" s="33">
        <v>61.050000000000004</v>
      </c>
      <c r="AI34" s="180">
        <v>0.22629969418960241</v>
      </c>
      <c r="AJ34" s="173">
        <v>5</v>
      </c>
      <c r="AK34" s="174">
        <v>2</v>
      </c>
      <c r="AL34" s="174">
        <v>2</v>
      </c>
      <c r="AM34" s="175">
        <v>106.92</v>
      </c>
      <c r="AN34" s="228">
        <v>4.6712139498560996E-3</v>
      </c>
      <c r="AO34" s="173">
        <v>2</v>
      </c>
      <c r="AP34" s="174">
        <v>1</v>
      </c>
      <c r="AQ34" s="174">
        <v>1</v>
      </c>
      <c r="AR34" s="175">
        <v>0.22710755813953487</v>
      </c>
      <c r="AS34" s="228">
        <v>2.1567669338987167E-3</v>
      </c>
      <c r="AT34" s="173">
        <v>3</v>
      </c>
      <c r="AU34" s="174">
        <v>5</v>
      </c>
      <c r="AV34" s="174">
        <v>2</v>
      </c>
      <c r="AW34" s="175">
        <v>7.9156829940340145</v>
      </c>
      <c r="AX34" s="228">
        <v>1.8440729164901607E-8</v>
      </c>
      <c r="BR34" s="33"/>
    </row>
    <row r="35" spans="2:70" x14ac:dyDescent="0.25">
      <c r="B35" s="60"/>
      <c r="C35" s="43"/>
      <c r="D35" s="51"/>
      <c r="E35"/>
      <c r="F35" s="173">
        <v>5</v>
      </c>
      <c r="G35" s="174">
        <v>2</v>
      </c>
      <c r="H35" s="174">
        <v>1</v>
      </c>
      <c r="I35" s="175">
        <v>106.92</v>
      </c>
      <c r="J35" s="176">
        <v>3.0877531830542072E-2</v>
      </c>
      <c r="K35" s="173"/>
      <c r="L35" s="174"/>
      <c r="M35" s="174"/>
      <c r="N35" s="175"/>
      <c r="O35" s="176"/>
      <c r="P35" s="173"/>
      <c r="Q35" s="174"/>
      <c r="R35" s="174"/>
      <c r="S35" s="175"/>
      <c r="T35" s="176"/>
      <c r="U35" s="173"/>
      <c r="V35" s="174"/>
      <c r="W35" s="174"/>
      <c r="X35" s="175"/>
      <c r="Y35" s="176"/>
      <c r="Z35" s="173">
        <v>6</v>
      </c>
      <c r="AA35" s="174">
        <v>3</v>
      </c>
      <c r="AB35" s="174">
        <v>3</v>
      </c>
      <c r="AC35" s="175">
        <v>6.9120000000000008</v>
      </c>
      <c r="AD35" s="176">
        <v>1.626352941176471E-8</v>
      </c>
      <c r="AE35" s="160">
        <v>6</v>
      </c>
      <c r="AF35" s="160">
        <v>3</v>
      </c>
      <c r="AG35" s="160">
        <v>5</v>
      </c>
      <c r="AH35" s="33">
        <v>6.9120000000000008</v>
      </c>
      <c r="AI35" s="33">
        <v>1.4920669185105235E-8</v>
      </c>
      <c r="AJ35" s="173">
        <v>6</v>
      </c>
      <c r="AK35" s="174">
        <v>3</v>
      </c>
      <c r="AL35" s="174">
        <v>4</v>
      </c>
      <c r="AM35" s="175">
        <v>6.9120000000000008</v>
      </c>
      <c r="AN35" s="176">
        <v>1.6102504368083868E-8</v>
      </c>
      <c r="AO35" s="173"/>
      <c r="AP35" s="174"/>
      <c r="AQ35" s="174"/>
      <c r="AR35" s="175"/>
      <c r="AS35" s="176"/>
      <c r="AT35" s="173">
        <v>6</v>
      </c>
      <c r="AU35" s="174">
        <v>3</v>
      </c>
      <c r="AV35" s="174">
        <v>2</v>
      </c>
      <c r="AW35" s="175">
        <v>6.9120000000000008</v>
      </c>
      <c r="AX35" s="176">
        <v>1.6102504368083868E-8</v>
      </c>
      <c r="BR35" s="33"/>
    </row>
    <row r="36" spans="2:70" x14ac:dyDescent="0.25">
      <c r="B36" s="60"/>
      <c r="C36" s="43"/>
      <c r="D36" s="51"/>
      <c r="F36" s="173">
        <v>3</v>
      </c>
      <c r="G36" s="174">
        <v>5</v>
      </c>
      <c r="H36" s="174">
        <v>1</v>
      </c>
      <c r="I36" s="175">
        <v>7.992</v>
      </c>
      <c r="J36" s="176">
        <v>2.7673130193905823E-7</v>
      </c>
      <c r="K36" s="173"/>
      <c r="L36" s="174"/>
      <c r="M36" s="174"/>
      <c r="N36" s="175"/>
      <c r="O36" s="176"/>
      <c r="P36" s="173"/>
      <c r="Q36" s="174"/>
      <c r="R36" s="174"/>
      <c r="S36" s="175"/>
      <c r="T36" s="176"/>
      <c r="U36" s="173"/>
      <c r="V36" s="174"/>
      <c r="W36" s="174"/>
      <c r="X36" s="175"/>
      <c r="Y36" s="176"/>
      <c r="Z36" s="173"/>
      <c r="AA36" s="174"/>
      <c r="AB36" s="174"/>
      <c r="AC36" s="175"/>
      <c r="AD36" s="176"/>
      <c r="AJ36" s="173"/>
      <c r="AK36" s="174"/>
      <c r="AL36" s="174"/>
      <c r="AM36" s="175"/>
      <c r="AN36" s="176"/>
      <c r="AO36" s="173"/>
      <c r="AP36" s="174"/>
      <c r="AQ36" s="174"/>
      <c r="AR36" s="175"/>
      <c r="AS36" s="176"/>
      <c r="AT36" s="173"/>
      <c r="AU36" s="174"/>
      <c r="AV36" s="174"/>
      <c r="AW36" s="175"/>
      <c r="AX36" s="176"/>
      <c r="BR36" s="33"/>
    </row>
    <row r="37" spans="2:70" x14ac:dyDescent="0.25">
      <c r="B37" s="60"/>
      <c r="C37" s="43"/>
      <c r="D37" s="51"/>
      <c r="F37" s="173">
        <v>6</v>
      </c>
      <c r="G37" s="174">
        <v>3</v>
      </c>
      <c r="H37" s="174">
        <v>1</v>
      </c>
      <c r="I37" s="175">
        <v>6.9120000000000008</v>
      </c>
      <c r="J37" s="176">
        <v>2.3933518005540168E-7</v>
      </c>
      <c r="K37" s="173"/>
      <c r="L37" s="174"/>
      <c r="M37" s="174"/>
      <c r="N37" s="175"/>
      <c r="O37" s="176"/>
      <c r="P37" s="173"/>
      <c r="Q37" s="174"/>
      <c r="R37" s="174"/>
      <c r="S37" s="175"/>
      <c r="T37" s="176"/>
      <c r="U37" s="173"/>
      <c r="V37" s="174"/>
      <c r="W37" s="174"/>
      <c r="X37" s="175"/>
      <c r="Y37" s="176"/>
      <c r="Z37" s="173"/>
      <c r="AA37" s="174"/>
      <c r="AB37" s="174"/>
      <c r="AC37" s="175"/>
      <c r="AD37" s="176"/>
      <c r="AJ37" s="173"/>
      <c r="AK37" s="174"/>
      <c r="AL37" s="174"/>
      <c r="AM37" s="175"/>
      <c r="AN37" s="176"/>
      <c r="AO37" s="173"/>
      <c r="AP37" s="174"/>
      <c r="AQ37" s="174"/>
      <c r="AR37" s="175"/>
      <c r="AS37" s="176"/>
      <c r="AT37" s="173"/>
      <c r="AU37" s="174"/>
      <c r="AV37" s="174"/>
      <c r="AW37" s="175"/>
      <c r="AX37" s="176"/>
      <c r="BR37" s="33"/>
    </row>
    <row r="39" spans="2:70" x14ac:dyDescent="0.25">
      <c r="P39" s="177"/>
    </row>
    <row r="40" spans="2:70" s="235" customFormat="1" ht="26.25" x14ac:dyDescent="0.4">
      <c r="B40" s="234"/>
      <c r="D40" s="236"/>
      <c r="E40" s="237"/>
      <c r="F40" s="238" t="s">
        <v>161</v>
      </c>
      <c r="G40" s="239"/>
      <c r="H40" s="239"/>
      <c r="I40" s="237"/>
      <c r="J40" s="237"/>
      <c r="K40" s="239"/>
      <c r="L40" s="239"/>
      <c r="M40" s="237"/>
      <c r="N40" s="237"/>
      <c r="O40" s="239"/>
      <c r="P40" s="239"/>
      <c r="Q40" s="239"/>
      <c r="R40" s="237"/>
      <c r="S40" s="237"/>
      <c r="T40" s="239"/>
      <c r="U40" s="239"/>
      <c r="V40" s="239"/>
      <c r="W40" s="237"/>
      <c r="X40" s="237"/>
      <c r="Y40" s="239"/>
      <c r="Z40" s="239"/>
      <c r="AA40" s="239"/>
      <c r="AB40" s="237"/>
      <c r="AC40" s="237"/>
      <c r="AD40" s="239"/>
      <c r="AE40" s="239"/>
      <c r="AF40" s="239"/>
      <c r="AG40" s="237"/>
      <c r="AH40" s="237"/>
      <c r="AI40" s="239"/>
      <c r="AJ40" s="239"/>
      <c r="AK40" s="239"/>
      <c r="AL40" s="237"/>
      <c r="AM40" s="237"/>
      <c r="AN40" s="239"/>
      <c r="AO40" s="239"/>
      <c r="AP40" s="239"/>
      <c r="AQ40" s="237"/>
      <c r="AR40" s="237"/>
      <c r="AS40" s="239"/>
      <c r="AT40" s="239"/>
      <c r="AU40" s="239"/>
      <c r="AV40" s="237"/>
      <c r="AW40" s="237"/>
      <c r="AX40" s="237"/>
      <c r="AY40" s="237"/>
      <c r="AZ40" s="240"/>
      <c r="BA40" s="237"/>
      <c r="BB40" s="237"/>
      <c r="BC40" s="237"/>
      <c r="BD40" s="237"/>
      <c r="BE40" s="237"/>
      <c r="BF40" s="237"/>
      <c r="BG40" s="237"/>
      <c r="BH40" s="237"/>
      <c r="BI40" s="237"/>
      <c r="BJ40" s="237"/>
      <c r="BK40" s="237"/>
      <c r="BL40" s="237"/>
      <c r="BM40" s="237"/>
      <c r="BN40" s="237"/>
      <c r="BO40" s="237"/>
      <c r="BP40" s="237"/>
    </row>
    <row r="41" spans="2:70" s="163" customFormat="1" ht="15.75" x14ac:dyDescent="0.25">
      <c r="B41" s="187"/>
      <c r="D41" s="188"/>
      <c r="E41" s="189"/>
      <c r="F41" s="214" t="s">
        <v>159</v>
      </c>
      <c r="G41" s="191"/>
      <c r="H41" s="191"/>
      <c r="I41" s="192"/>
      <c r="J41" s="192"/>
      <c r="K41" s="191"/>
      <c r="L41" s="191"/>
      <c r="M41" s="192"/>
      <c r="N41" s="192"/>
      <c r="O41" s="191"/>
      <c r="P41" s="191"/>
      <c r="Q41" s="191"/>
      <c r="R41" s="192"/>
      <c r="S41" s="192"/>
      <c r="T41" s="191"/>
      <c r="U41" s="190"/>
      <c r="V41" s="190"/>
      <c r="W41" s="189"/>
      <c r="X41" s="189"/>
      <c r="Y41" s="190"/>
      <c r="Z41" s="190"/>
      <c r="AA41" s="190"/>
      <c r="AB41" s="189"/>
      <c r="AC41" s="189"/>
      <c r="AD41" s="190"/>
      <c r="AE41" s="190"/>
      <c r="AF41" s="190"/>
      <c r="AG41" s="189"/>
      <c r="AH41" s="189"/>
      <c r="AI41" s="190"/>
      <c r="AJ41" s="190"/>
      <c r="AK41" s="190"/>
      <c r="AL41" s="189"/>
      <c r="AM41" s="189"/>
      <c r="AN41" s="190"/>
      <c r="AO41" s="190"/>
      <c r="AP41" s="190"/>
      <c r="AQ41" s="189"/>
      <c r="AR41" s="189"/>
      <c r="AS41" s="190"/>
      <c r="AT41" s="190"/>
      <c r="AU41" s="190"/>
      <c r="AV41" s="189"/>
      <c r="AW41" s="189"/>
      <c r="AX41" s="189"/>
      <c r="AY41" s="189"/>
      <c r="AZ41" s="213" t="s">
        <v>147</v>
      </c>
      <c r="BA41" s="189"/>
      <c r="BB41" s="189"/>
      <c r="BC41" s="189"/>
      <c r="BD41" s="189"/>
      <c r="BE41" s="189"/>
      <c r="BF41" s="189"/>
      <c r="BG41" s="189"/>
      <c r="BH41" s="189"/>
      <c r="BI41" s="189"/>
      <c r="BJ41" s="189"/>
      <c r="BK41" s="189"/>
      <c r="BL41" s="189"/>
      <c r="BM41" s="189"/>
      <c r="BN41" s="189"/>
      <c r="BO41" s="189"/>
      <c r="BP41" s="189"/>
    </row>
    <row r="42" spans="2:70" s="163" customFormat="1" ht="15.75" x14ac:dyDescent="0.25">
      <c r="B42" s="187"/>
      <c r="D42" s="188"/>
      <c r="E42" s="189"/>
      <c r="F42" s="256" t="s">
        <v>160</v>
      </c>
      <c r="G42" s="257"/>
      <c r="H42" s="257"/>
      <c r="I42" s="258"/>
      <c r="J42" s="258"/>
      <c r="K42" s="257"/>
      <c r="L42" s="257"/>
      <c r="M42" s="258"/>
      <c r="N42" s="258"/>
      <c r="O42" s="257"/>
      <c r="P42" s="257"/>
      <c r="Q42" s="257"/>
      <c r="R42" s="258"/>
      <c r="S42" s="258"/>
      <c r="T42" s="257"/>
      <c r="U42" s="257"/>
      <c r="V42" s="257"/>
      <c r="W42" s="258"/>
      <c r="X42" s="258"/>
      <c r="Y42" s="257"/>
      <c r="Z42" s="257"/>
      <c r="AA42" s="257"/>
      <c r="AB42" s="258"/>
      <c r="AC42" s="189"/>
      <c r="AD42" s="190"/>
      <c r="AE42" s="190"/>
      <c r="AF42" s="190"/>
      <c r="AG42" s="189"/>
      <c r="AH42" s="189"/>
      <c r="AI42" s="190"/>
      <c r="AJ42" s="190"/>
      <c r="AK42" s="190"/>
      <c r="AL42" s="189"/>
      <c r="AM42" s="189"/>
      <c r="AN42" s="190"/>
      <c r="AO42" s="190"/>
      <c r="AP42" s="190"/>
      <c r="AQ42" s="189"/>
      <c r="AR42" s="189"/>
      <c r="AS42" s="190"/>
      <c r="AT42" s="190"/>
      <c r="AU42" s="190"/>
      <c r="AV42" s="189"/>
      <c r="AW42" s="189"/>
      <c r="AX42" s="189"/>
      <c r="AY42" s="189"/>
      <c r="AZ42" s="213" t="s">
        <v>148</v>
      </c>
      <c r="BA42" s="189"/>
      <c r="BB42" s="189"/>
      <c r="BC42" s="189"/>
      <c r="BD42" s="189"/>
      <c r="BE42" s="189"/>
      <c r="BF42" s="189"/>
      <c r="BG42" s="189"/>
      <c r="BH42" s="189"/>
      <c r="BI42" s="189"/>
      <c r="BJ42" s="189"/>
      <c r="BK42" s="189"/>
      <c r="BL42" s="189"/>
      <c r="BM42" s="189"/>
      <c r="BN42" s="189"/>
      <c r="BO42" s="189"/>
      <c r="BP42" s="189"/>
    </row>
    <row r="43" spans="2:70" s="163" customFormat="1" ht="15.75" x14ac:dyDescent="0.25">
      <c r="B43" s="187"/>
      <c r="D43" s="188"/>
      <c r="E43" s="189"/>
      <c r="F43" s="214" t="s">
        <v>149</v>
      </c>
      <c r="G43" s="191"/>
      <c r="H43" s="191"/>
      <c r="I43" s="192"/>
      <c r="J43" s="192"/>
      <c r="K43" s="191"/>
      <c r="L43" s="191"/>
      <c r="M43" s="192"/>
      <c r="N43" s="192"/>
      <c r="O43" s="191"/>
      <c r="P43" s="191"/>
      <c r="Q43" s="191"/>
      <c r="R43" s="192"/>
      <c r="S43" s="192"/>
      <c r="T43" s="191"/>
      <c r="U43" s="190"/>
      <c r="V43" s="190"/>
      <c r="W43" s="189"/>
      <c r="X43" s="189"/>
      <c r="Y43" s="190"/>
      <c r="Z43" s="190"/>
      <c r="AA43" s="190"/>
      <c r="AB43" s="189"/>
      <c r="AC43" s="189"/>
      <c r="AD43" s="190"/>
      <c r="AE43" s="190"/>
      <c r="AF43" s="190"/>
      <c r="AG43" s="189"/>
      <c r="AH43" s="189"/>
      <c r="AI43" s="190"/>
      <c r="AJ43" s="190"/>
      <c r="AK43" s="190"/>
      <c r="AL43" s="189"/>
      <c r="AM43" s="189"/>
      <c r="AN43" s="190"/>
      <c r="AO43" s="190"/>
      <c r="AP43" s="190"/>
      <c r="AQ43" s="189"/>
      <c r="AR43" s="189"/>
      <c r="AS43" s="190"/>
      <c r="AT43" s="190"/>
      <c r="AU43" s="190"/>
      <c r="AV43" s="189"/>
      <c r="AW43" s="189"/>
      <c r="AX43" s="189"/>
      <c r="AY43" s="189"/>
      <c r="AZ43" s="213" t="s">
        <v>149</v>
      </c>
      <c r="BA43" s="189"/>
      <c r="BB43" s="189"/>
      <c r="BC43" s="189"/>
      <c r="BD43" s="189"/>
      <c r="BE43" s="189"/>
      <c r="BF43" s="189"/>
      <c r="BG43" s="189"/>
      <c r="BH43" s="189"/>
      <c r="BI43" s="189"/>
      <c r="BJ43" s="189"/>
      <c r="BK43" s="189"/>
      <c r="BL43" s="189"/>
      <c r="BM43" s="189"/>
      <c r="BN43" s="189"/>
      <c r="BO43" s="189"/>
      <c r="BP43" s="189"/>
    </row>
    <row r="44" spans="2:70" ht="26.25" x14ac:dyDescent="0.4">
      <c r="F44" s="220"/>
      <c r="G44" s="218"/>
      <c r="H44" s="218">
        <v>3</v>
      </c>
      <c r="I44" s="36"/>
      <c r="J44" s="36"/>
      <c r="K44" s="218"/>
      <c r="L44" s="218"/>
      <c r="M44" s="218">
        <v>8</v>
      </c>
      <c r="N44" s="36"/>
      <c r="O44" s="36"/>
      <c r="P44" s="218"/>
      <c r="Q44" s="218"/>
      <c r="R44" s="218">
        <v>9</v>
      </c>
      <c r="S44" s="36"/>
      <c r="T44" s="36"/>
      <c r="U44" s="218"/>
      <c r="V44" s="218"/>
      <c r="W44" s="218">
        <v>7</v>
      </c>
      <c r="X44" s="36"/>
      <c r="Y44" s="36"/>
      <c r="Z44" s="218"/>
      <c r="AA44" s="218"/>
      <c r="AB44" s="218">
        <v>5</v>
      </c>
      <c r="AC44" s="36"/>
      <c r="AD44" s="36"/>
      <c r="AE44" s="218"/>
      <c r="AF44" s="218"/>
      <c r="AG44" s="218">
        <v>10</v>
      </c>
      <c r="AH44" s="36"/>
      <c r="AI44" s="36"/>
      <c r="AJ44" s="218"/>
      <c r="AK44" s="218"/>
      <c r="AL44" s="218">
        <v>6</v>
      </c>
      <c r="AM44" s="36"/>
      <c r="AN44" s="36"/>
      <c r="AO44" s="218"/>
      <c r="AP44" s="218"/>
      <c r="AQ44" s="218">
        <v>2</v>
      </c>
      <c r="AR44" s="36"/>
      <c r="AS44" s="36"/>
      <c r="AT44" s="218"/>
      <c r="AU44" s="218"/>
      <c r="AV44" s="218">
        <v>4</v>
      </c>
      <c r="AW44" s="36"/>
      <c r="AX44" s="36"/>
    </row>
    <row r="45" spans="2:70" s="68" customFormat="1" ht="27" thickBot="1" x14ac:dyDescent="0.45">
      <c r="B45" s="197"/>
      <c r="C45" s="198"/>
      <c r="D45" s="199"/>
      <c r="F45" s="287" t="s">
        <v>138</v>
      </c>
      <c r="G45" s="288"/>
      <c r="H45" s="288"/>
      <c r="I45" s="288"/>
      <c r="J45" s="289"/>
      <c r="K45" s="287" t="s">
        <v>115</v>
      </c>
      <c r="L45" s="288"/>
      <c r="M45" s="288"/>
      <c r="N45" s="288"/>
      <c r="O45" s="289"/>
      <c r="P45" s="287" t="s">
        <v>116</v>
      </c>
      <c r="Q45" s="288"/>
      <c r="R45" s="288"/>
      <c r="S45" s="288"/>
      <c r="T45" s="289"/>
      <c r="U45" s="287" t="s">
        <v>114</v>
      </c>
      <c r="V45" s="288"/>
      <c r="W45" s="288"/>
      <c r="X45" s="288"/>
      <c r="Y45" s="289"/>
      <c r="Z45" s="287" t="s">
        <v>123</v>
      </c>
      <c r="AA45" s="288"/>
      <c r="AB45" s="288"/>
      <c r="AC45" s="288"/>
      <c r="AD45" s="289"/>
      <c r="AE45" s="288" t="s">
        <v>117</v>
      </c>
      <c r="AF45" s="288"/>
      <c r="AG45" s="288"/>
      <c r="AH45" s="288"/>
      <c r="AI45" s="288"/>
      <c r="AJ45" s="287" t="s">
        <v>113</v>
      </c>
      <c r="AK45" s="288"/>
      <c r="AL45" s="288"/>
      <c r="AM45" s="288"/>
      <c r="AN45" s="289"/>
      <c r="AO45" s="287" t="s">
        <v>109</v>
      </c>
      <c r="AP45" s="288"/>
      <c r="AQ45" s="288"/>
      <c r="AR45" s="288"/>
      <c r="AS45" s="289"/>
      <c r="AT45" s="287" t="s">
        <v>111</v>
      </c>
      <c r="AU45" s="288"/>
      <c r="AV45" s="288"/>
      <c r="AW45" s="288"/>
      <c r="AX45" s="289"/>
      <c r="AY45" s="200"/>
      <c r="AZ45" s="200"/>
      <c r="BA45" s="200"/>
      <c r="BB45" s="200"/>
      <c r="BC45" s="200"/>
      <c r="BD45" s="200"/>
      <c r="BE45" s="200"/>
      <c r="BF45" s="200"/>
      <c r="BG45" s="200"/>
      <c r="BH45" s="200"/>
      <c r="BI45" s="200"/>
      <c r="BJ45" s="200"/>
      <c r="BK45" s="200"/>
      <c r="BL45" s="200"/>
      <c r="BM45" s="200"/>
      <c r="BN45" s="200"/>
      <c r="BO45" s="200"/>
      <c r="BP45" s="200"/>
      <c r="BQ45" s="200"/>
      <c r="BR45" s="200"/>
    </row>
    <row r="46" spans="2:70" ht="46.5" thickTop="1" thickBot="1" x14ac:dyDescent="0.3">
      <c r="B46" s="13" t="s">
        <v>1</v>
      </c>
      <c r="C46" t="s">
        <v>2</v>
      </c>
      <c r="D46" s="152" t="s">
        <v>70</v>
      </c>
      <c r="E46"/>
      <c r="F46" s="208" t="s">
        <v>127</v>
      </c>
      <c r="G46" s="210" t="s">
        <v>145</v>
      </c>
      <c r="H46" s="210" t="s">
        <v>146</v>
      </c>
      <c r="I46" s="162" t="s">
        <v>128</v>
      </c>
      <c r="J46" s="172" t="s">
        <v>129</v>
      </c>
      <c r="K46" s="208" t="s">
        <v>127</v>
      </c>
      <c r="L46" s="210" t="s">
        <v>145</v>
      </c>
      <c r="M46" s="210" t="s">
        <v>146</v>
      </c>
      <c r="N46" s="162" t="s">
        <v>128</v>
      </c>
      <c r="O46" s="172" t="s">
        <v>129</v>
      </c>
      <c r="P46" s="208" t="s">
        <v>127</v>
      </c>
      <c r="Q46" s="210" t="s">
        <v>145</v>
      </c>
      <c r="R46" s="210" t="s">
        <v>146</v>
      </c>
      <c r="S46" s="162" t="s">
        <v>128</v>
      </c>
      <c r="T46" s="172" t="s">
        <v>129</v>
      </c>
      <c r="U46" s="208" t="s">
        <v>127</v>
      </c>
      <c r="V46" s="210" t="s">
        <v>145</v>
      </c>
      <c r="W46" s="210" t="s">
        <v>146</v>
      </c>
      <c r="X46" s="162" t="s">
        <v>128</v>
      </c>
      <c r="Y46" s="172" t="s">
        <v>129</v>
      </c>
      <c r="Z46" s="208" t="s">
        <v>127</v>
      </c>
      <c r="AA46" s="210" t="s">
        <v>145</v>
      </c>
      <c r="AB46" s="210" t="s">
        <v>146</v>
      </c>
      <c r="AC46" s="162" t="s">
        <v>128</v>
      </c>
      <c r="AD46" s="172" t="s">
        <v>129</v>
      </c>
      <c r="AE46" s="208" t="s">
        <v>127</v>
      </c>
      <c r="AF46" s="210" t="s">
        <v>145</v>
      </c>
      <c r="AG46" s="210" t="s">
        <v>146</v>
      </c>
      <c r="AH46" s="162" t="s">
        <v>128</v>
      </c>
      <c r="AI46" s="172" t="s">
        <v>129</v>
      </c>
      <c r="AJ46" s="208" t="s">
        <v>127</v>
      </c>
      <c r="AK46" s="210" t="s">
        <v>145</v>
      </c>
      <c r="AL46" s="210" t="s">
        <v>146</v>
      </c>
      <c r="AM46" s="162" t="s">
        <v>128</v>
      </c>
      <c r="AN46" s="172" t="s">
        <v>129</v>
      </c>
      <c r="AO46" s="208" t="s">
        <v>127</v>
      </c>
      <c r="AP46" s="210" t="s">
        <v>145</v>
      </c>
      <c r="AQ46" s="210" t="s">
        <v>146</v>
      </c>
      <c r="AR46" s="162" t="s">
        <v>128</v>
      </c>
      <c r="AS46" s="172" t="s">
        <v>129</v>
      </c>
      <c r="AT46" s="209" t="s">
        <v>127</v>
      </c>
      <c r="AU46" s="210" t="s">
        <v>145</v>
      </c>
      <c r="AV46" s="210" t="s">
        <v>146</v>
      </c>
      <c r="AW46" s="162" t="s">
        <v>128</v>
      </c>
      <c r="AX46" s="162" t="s">
        <v>129</v>
      </c>
      <c r="BR46" s="33"/>
    </row>
    <row r="47" spans="2:70" ht="16.5" thickTop="1" thickBot="1" x14ac:dyDescent="0.3">
      <c r="B47" s="222">
        <v>1</v>
      </c>
      <c r="C47" s="223" t="s">
        <v>108</v>
      </c>
      <c r="D47" s="224">
        <f>SUM(D48:D50)</f>
        <v>0.75497130985358141</v>
      </c>
      <c r="E47"/>
      <c r="F47" s="229">
        <v>4</v>
      </c>
      <c r="G47" s="259">
        <v>2</v>
      </c>
      <c r="H47" s="174">
        <v>1</v>
      </c>
      <c r="I47" s="175">
        <v>61.050000000000004</v>
      </c>
      <c r="J47" s="231">
        <v>0.75497130985358141</v>
      </c>
      <c r="K47" s="173">
        <v>1</v>
      </c>
      <c r="L47" s="174">
        <v>1</v>
      </c>
      <c r="M47" s="174">
        <v>2</v>
      </c>
      <c r="N47" s="175">
        <v>33</v>
      </c>
      <c r="O47" s="194">
        <v>0.52380952380952384</v>
      </c>
      <c r="P47" s="173">
        <v>1</v>
      </c>
      <c r="Q47" s="174">
        <v>1</v>
      </c>
      <c r="R47" s="174">
        <v>3</v>
      </c>
      <c r="S47" s="175">
        <v>33</v>
      </c>
      <c r="T47" s="193">
        <v>0.52380952380952384</v>
      </c>
      <c r="U47" s="173">
        <v>1</v>
      </c>
      <c r="V47" s="174">
        <v>1</v>
      </c>
      <c r="W47" s="174">
        <v>1</v>
      </c>
      <c r="X47" s="175">
        <v>33</v>
      </c>
      <c r="Y47" s="194">
        <v>0.2789518174133559</v>
      </c>
      <c r="Z47" s="229">
        <v>4</v>
      </c>
      <c r="AA47" s="259">
        <f>G47-1</f>
        <v>1</v>
      </c>
      <c r="AB47" s="174">
        <v>2</v>
      </c>
      <c r="AC47" s="175">
        <v>61.050000000000004</v>
      </c>
      <c r="AD47" s="194">
        <v>0.24666666666666667</v>
      </c>
      <c r="AE47" s="230">
        <v>4</v>
      </c>
      <c r="AF47" s="259">
        <v>1</v>
      </c>
      <c r="AG47" s="160">
        <v>3</v>
      </c>
      <c r="AH47" s="33">
        <v>61.050000000000004</v>
      </c>
      <c r="AI47" s="200">
        <f>IF(AF47&gt;0,0.226299694189602,0)</f>
        <v>0.226299694189602</v>
      </c>
      <c r="AJ47" s="173">
        <v>5</v>
      </c>
      <c r="AK47" s="174">
        <v>2</v>
      </c>
      <c r="AL47" s="174">
        <v>2</v>
      </c>
      <c r="AM47" s="175">
        <v>106.92</v>
      </c>
      <c r="AN47" s="193">
        <v>4.6712139498560996E-3</v>
      </c>
      <c r="AO47" s="173">
        <v>2</v>
      </c>
      <c r="AP47" s="174">
        <v>1</v>
      </c>
      <c r="AQ47" s="174">
        <v>1</v>
      </c>
      <c r="AR47" s="175">
        <v>0.22710755813953487</v>
      </c>
      <c r="AS47" s="193">
        <v>2.1567669338987167E-3</v>
      </c>
      <c r="AT47" s="173">
        <v>3</v>
      </c>
      <c r="AU47" s="174">
        <v>5</v>
      </c>
      <c r="AV47" s="174">
        <v>2</v>
      </c>
      <c r="AW47" s="175">
        <v>7.9156829940340145</v>
      </c>
      <c r="AX47" s="193">
        <v>1.8440729164901607E-8</v>
      </c>
      <c r="BR47" s="33"/>
    </row>
    <row r="48" spans="2:70" ht="15.75" thickTop="1" x14ac:dyDescent="0.25">
      <c r="B48" s="60"/>
      <c r="C48" s="43"/>
      <c r="D48" s="51">
        <f>J47</f>
        <v>0.75497130985358141</v>
      </c>
      <c r="E48"/>
      <c r="F48" s="173">
        <v>5</v>
      </c>
      <c r="G48" s="174">
        <v>2</v>
      </c>
      <c r="H48" s="174">
        <v>1</v>
      </c>
      <c r="I48" s="175">
        <v>106.92</v>
      </c>
      <c r="J48" s="176">
        <v>3.0877531830542072E-2</v>
      </c>
      <c r="K48" s="173"/>
      <c r="L48" s="174"/>
      <c r="M48" s="174"/>
      <c r="N48" s="175"/>
      <c r="O48" s="176"/>
      <c r="P48" s="173"/>
      <c r="Q48" s="174"/>
      <c r="R48" s="174"/>
      <c r="S48" s="175"/>
      <c r="T48" s="176"/>
      <c r="U48" s="173"/>
      <c r="V48" s="174"/>
      <c r="W48" s="174"/>
      <c r="X48" s="175"/>
      <c r="Y48" s="176"/>
      <c r="Z48" s="173">
        <v>6</v>
      </c>
      <c r="AA48" s="174">
        <v>3</v>
      </c>
      <c r="AB48" s="174">
        <v>3</v>
      </c>
      <c r="AC48" s="175">
        <v>6.9120000000000008</v>
      </c>
      <c r="AD48" s="176">
        <v>1.626352941176471E-8</v>
      </c>
      <c r="AE48" s="160">
        <v>6</v>
      </c>
      <c r="AF48" s="160">
        <v>3</v>
      </c>
      <c r="AG48" s="160">
        <v>5</v>
      </c>
      <c r="AH48" s="33">
        <v>6.9120000000000008</v>
      </c>
      <c r="AI48" s="33">
        <v>1.4920669185105235E-8</v>
      </c>
      <c r="AJ48" s="173">
        <v>6</v>
      </c>
      <c r="AK48" s="174">
        <v>3</v>
      </c>
      <c r="AL48" s="174">
        <v>4</v>
      </c>
      <c r="AM48" s="175">
        <v>6.9120000000000008</v>
      </c>
      <c r="AN48" s="176">
        <v>1.6102504368083868E-8</v>
      </c>
      <c r="AO48" s="173"/>
      <c r="AP48" s="174"/>
      <c r="AQ48" s="174"/>
      <c r="AR48" s="175"/>
      <c r="AS48" s="176"/>
      <c r="AT48" s="173">
        <v>6</v>
      </c>
      <c r="AU48" s="174">
        <v>3</v>
      </c>
      <c r="AV48" s="174">
        <v>2</v>
      </c>
      <c r="AW48" s="175">
        <v>6.9120000000000008</v>
      </c>
      <c r="AX48" s="176">
        <v>1.6102504368083868E-8</v>
      </c>
      <c r="BR48" s="33"/>
    </row>
    <row r="49" spans="2:70" x14ac:dyDescent="0.25">
      <c r="B49" s="60"/>
      <c r="C49" s="43"/>
      <c r="D49" s="51"/>
      <c r="F49" s="173">
        <v>3</v>
      </c>
      <c r="G49" s="174">
        <v>5</v>
      </c>
      <c r="H49" s="174">
        <v>1</v>
      </c>
      <c r="I49" s="175">
        <v>7.992</v>
      </c>
      <c r="J49" s="176">
        <v>2.7673130193905823E-7</v>
      </c>
      <c r="K49" s="173"/>
      <c r="L49" s="174"/>
      <c r="M49" s="174"/>
      <c r="N49" s="175"/>
      <c r="O49" s="176"/>
      <c r="P49" s="173"/>
      <c r="Q49" s="174"/>
      <c r="R49" s="174"/>
      <c r="S49" s="175"/>
      <c r="T49" s="176"/>
      <c r="U49" s="173"/>
      <c r="V49" s="174"/>
      <c r="W49" s="174"/>
      <c r="X49" s="175"/>
      <c r="Y49" s="176"/>
      <c r="Z49" s="173"/>
      <c r="AA49" s="174"/>
      <c r="AB49" s="174"/>
      <c r="AC49" s="175"/>
      <c r="AD49" s="176"/>
      <c r="AJ49" s="173"/>
      <c r="AK49" s="174"/>
      <c r="AL49" s="174"/>
      <c r="AM49" s="175"/>
      <c r="AN49" s="176"/>
      <c r="AO49" s="173"/>
      <c r="AP49" s="174"/>
      <c r="AQ49" s="174"/>
      <c r="AR49" s="175"/>
      <c r="AS49" s="176"/>
      <c r="AT49" s="173"/>
      <c r="AU49" s="174"/>
      <c r="AV49" s="174"/>
      <c r="AW49" s="175"/>
      <c r="AX49" s="176"/>
      <c r="BR49" s="33"/>
    </row>
    <row r="50" spans="2:70" x14ac:dyDescent="0.25">
      <c r="B50" s="60"/>
      <c r="C50" s="43"/>
      <c r="D50" s="51"/>
      <c r="F50" s="173">
        <v>6</v>
      </c>
      <c r="G50" s="174">
        <v>3</v>
      </c>
      <c r="H50" s="174">
        <v>1</v>
      </c>
      <c r="I50" s="175">
        <v>6.9120000000000008</v>
      </c>
      <c r="J50" s="176">
        <v>2.3933518005540168E-7</v>
      </c>
      <c r="K50" s="173"/>
      <c r="L50" s="174"/>
      <c r="M50" s="174"/>
      <c r="N50" s="175"/>
      <c r="O50" s="176"/>
      <c r="P50" s="173"/>
      <c r="Q50" s="174"/>
      <c r="R50" s="174"/>
      <c r="S50" s="175"/>
      <c r="T50" s="176"/>
      <c r="U50" s="173"/>
      <c r="V50" s="174"/>
      <c r="W50" s="174"/>
      <c r="X50" s="175"/>
      <c r="Y50" s="176"/>
      <c r="Z50" s="173"/>
      <c r="AA50" s="174"/>
      <c r="AB50" s="174"/>
      <c r="AC50" s="175"/>
      <c r="AD50" s="176"/>
      <c r="AJ50" s="173"/>
      <c r="AK50" s="174"/>
      <c r="AL50" s="174"/>
      <c r="AM50" s="175"/>
      <c r="AN50" s="176"/>
      <c r="AO50" s="173"/>
      <c r="AP50" s="174"/>
      <c r="AQ50" s="174"/>
      <c r="AR50" s="175"/>
      <c r="AS50" s="176"/>
      <c r="AT50" s="173"/>
      <c r="AU50" s="174"/>
      <c r="AV50" s="174"/>
      <c r="AW50" s="175"/>
      <c r="AX50" s="176"/>
      <c r="BR50" s="33"/>
    </row>
    <row r="53" spans="2:70" ht="26.25" x14ac:dyDescent="0.4">
      <c r="F53" s="238" t="s">
        <v>142</v>
      </c>
    </row>
    <row r="54" spans="2:70" s="251" customFormat="1" ht="18.75" x14ac:dyDescent="0.3">
      <c r="B54" s="250"/>
      <c r="D54" s="252"/>
      <c r="E54" s="253"/>
      <c r="F54" s="249" t="s">
        <v>153</v>
      </c>
      <c r="G54" s="254"/>
      <c r="H54" s="254"/>
      <c r="I54" s="253"/>
      <c r="J54" s="253"/>
      <c r="K54" s="255"/>
      <c r="L54" s="254"/>
      <c r="M54" s="254"/>
      <c r="N54" s="253"/>
      <c r="O54" s="253"/>
      <c r="P54" s="254"/>
      <c r="Q54" s="254"/>
      <c r="R54" s="254"/>
      <c r="S54" s="253"/>
      <c r="T54" s="253"/>
      <c r="U54" s="254"/>
      <c r="V54" s="254"/>
      <c r="W54" s="254"/>
      <c r="X54" s="253"/>
      <c r="Y54" s="253"/>
      <c r="Z54" s="254"/>
      <c r="AA54" s="254"/>
      <c r="AB54" s="254"/>
      <c r="AC54" s="253"/>
      <c r="AD54" s="253"/>
      <c r="AE54" s="254"/>
      <c r="AF54" s="254"/>
      <c r="AG54" s="254"/>
      <c r="AH54" s="253"/>
      <c r="AI54" s="253"/>
      <c r="AJ54" s="254"/>
      <c r="AK54" s="254"/>
      <c r="AL54" s="254"/>
      <c r="AM54" s="253"/>
      <c r="AN54" s="253"/>
      <c r="AO54" s="254"/>
      <c r="AP54" s="254"/>
      <c r="AQ54" s="254"/>
      <c r="AR54" s="253"/>
      <c r="AS54" s="253"/>
      <c r="AT54" s="254"/>
      <c r="AU54" s="254"/>
      <c r="AV54" s="254"/>
      <c r="AW54" s="253"/>
      <c r="AX54" s="253"/>
      <c r="AY54" s="253"/>
      <c r="AZ54" s="253"/>
      <c r="BA54" s="253"/>
      <c r="BB54" s="253"/>
      <c r="BC54" s="253"/>
      <c r="BD54" s="253"/>
      <c r="BE54" s="253"/>
      <c r="BF54" s="253"/>
      <c r="BG54" s="253"/>
      <c r="BH54" s="253"/>
      <c r="BI54" s="253"/>
      <c r="BJ54" s="253"/>
      <c r="BK54" s="253"/>
      <c r="BL54" s="253"/>
      <c r="BM54" s="253"/>
      <c r="BN54" s="253"/>
      <c r="BO54" s="253"/>
      <c r="BP54" s="253"/>
      <c r="BQ54" s="253"/>
    </row>
    <row r="55" spans="2:70" s="242" customFormat="1" ht="15.75" x14ac:dyDescent="0.25">
      <c r="B55" s="241"/>
      <c r="D55" s="243"/>
      <c r="E55" s="244"/>
      <c r="F55" s="248" t="s">
        <v>155</v>
      </c>
      <c r="G55" s="245"/>
      <c r="H55" s="245"/>
      <c r="I55" s="246"/>
      <c r="J55" s="246"/>
      <c r="K55" s="245"/>
      <c r="L55" s="245"/>
      <c r="M55" s="245"/>
      <c r="N55" s="246"/>
      <c r="O55" s="246"/>
      <c r="P55" s="247"/>
      <c r="Q55" s="247"/>
      <c r="R55" s="247"/>
      <c r="S55" s="244"/>
      <c r="T55" s="244"/>
      <c r="U55" s="247"/>
      <c r="V55" s="247"/>
      <c r="W55" s="247"/>
      <c r="X55" s="244"/>
      <c r="Y55" s="244"/>
      <c r="Z55" s="247"/>
      <c r="AA55" s="247"/>
      <c r="AB55" s="247"/>
      <c r="AC55" s="244"/>
      <c r="AD55" s="244"/>
      <c r="AE55" s="247"/>
      <c r="AF55" s="247"/>
      <c r="AG55" s="247"/>
      <c r="AH55" s="244"/>
      <c r="AI55" s="244"/>
      <c r="AJ55" s="247"/>
      <c r="AK55" s="247"/>
      <c r="AL55" s="247"/>
      <c r="AM55" s="244"/>
      <c r="AN55" s="244"/>
      <c r="AO55" s="247"/>
      <c r="AP55" s="247"/>
      <c r="AQ55" s="247"/>
      <c r="AR55" s="244"/>
      <c r="AS55" s="244"/>
      <c r="AT55" s="247"/>
      <c r="AU55" s="247"/>
      <c r="AV55" s="247"/>
      <c r="AW55" s="244"/>
      <c r="AX55" s="244"/>
      <c r="AY55" s="244"/>
      <c r="AZ55" s="244"/>
      <c r="BA55" s="244"/>
      <c r="BB55" s="244"/>
      <c r="BC55" s="244"/>
      <c r="BD55" s="244"/>
      <c r="BE55" s="244"/>
      <c r="BF55" s="244"/>
      <c r="BG55" s="244"/>
      <c r="BH55" s="244"/>
      <c r="BI55" s="244"/>
      <c r="BJ55" s="244"/>
      <c r="BK55" s="244"/>
      <c r="BL55" s="244"/>
      <c r="BM55" s="244"/>
      <c r="BN55" s="244"/>
      <c r="BO55" s="244"/>
      <c r="BP55" s="244"/>
      <c r="BQ55" s="244"/>
    </row>
    <row r="56" spans="2:70" ht="26.25" x14ac:dyDescent="0.4">
      <c r="F56" s="220"/>
      <c r="G56" s="218"/>
      <c r="H56" s="218">
        <v>3</v>
      </c>
      <c r="I56" s="36"/>
      <c r="J56" s="36"/>
      <c r="K56" s="218"/>
      <c r="L56" s="218"/>
      <c r="M56" s="218">
        <v>8</v>
      </c>
      <c r="N56" s="36"/>
      <c r="O56" s="36"/>
      <c r="P56" s="218"/>
      <c r="Q56" s="218"/>
      <c r="R56" s="218">
        <v>9</v>
      </c>
      <c r="S56" s="36"/>
      <c r="T56" s="36"/>
      <c r="U56" s="218"/>
      <c r="V56" s="218"/>
      <c r="W56" s="218">
        <v>7</v>
      </c>
      <c r="X56" s="36"/>
      <c r="Y56" s="36"/>
      <c r="Z56" s="218"/>
      <c r="AA56" s="218"/>
      <c r="AB56" s="218">
        <v>5</v>
      </c>
      <c r="AC56" s="36"/>
      <c r="AD56" s="36"/>
      <c r="AE56" s="218"/>
      <c r="AF56" s="218"/>
      <c r="AG56" s="218">
        <v>10</v>
      </c>
      <c r="AH56" s="36"/>
      <c r="AI56" s="36"/>
      <c r="AJ56" s="218"/>
      <c r="AK56" s="218"/>
      <c r="AL56" s="218">
        <v>6</v>
      </c>
      <c r="AM56" s="36"/>
      <c r="AN56" s="36"/>
      <c r="AO56" s="218"/>
      <c r="AP56" s="218"/>
      <c r="AQ56" s="218">
        <v>2</v>
      </c>
      <c r="AR56" s="36"/>
      <c r="AS56" s="36"/>
      <c r="AT56" s="218"/>
      <c r="AU56" s="218"/>
      <c r="AV56" s="218">
        <v>4</v>
      </c>
      <c r="AW56" s="36"/>
      <c r="AX56" s="36"/>
    </row>
    <row r="57" spans="2:70" s="68" customFormat="1" ht="27" thickBot="1" x14ac:dyDescent="0.45">
      <c r="B57" s="197"/>
      <c r="C57" s="198"/>
      <c r="D57" s="199"/>
      <c r="F57" s="287" t="s">
        <v>138</v>
      </c>
      <c r="G57" s="288"/>
      <c r="H57" s="288"/>
      <c r="I57" s="288"/>
      <c r="J57" s="289"/>
      <c r="K57" s="287" t="s">
        <v>115</v>
      </c>
      <c r="L57" s="288"/>
      <c r="M57" s="288"/>
      <c r="N57" s="288"/>
      <c r="O57" s="289"/>
      <c r="P57" s="287" t="s">
        <v>116</v>
      </c>
      <c r="Q57" s="288"/>
      <c r="R57" s="288"/>
      <c r="S57" s="288"/>
      <c r="T57" s="289"/>
      <c r="U57" s="287" t="s">
        <v>114</v>
      </c>
      <c r="V57" s="288"/>
      <c r="W57" s="288"/>
      <c r="X57" s="288"/>
      <c r="Y57" s="289"/>
      <c r="Z57" s="287" t="s">
        <v>123</v>
      </c>
      <c r="AA57" s="288"/>
      <c r="AB57" s="288"/>
      <c r="AC57" s="288"/>
      <c r="AD57" s="289"/>
      <c r="AE57" s="288" t="s">
        <v>117</v>
      </c>
      <c r="AF57" s="288"/>
      <c r="AG57" s="288"/>
      <c r="AH57" s="288"/>
      <c r="AI57" s="288"/>
      <c r="AJ57" s="287" t="s">
        <v>113</v>
      </c>
      <c r="AK57" s="288"/>
      <c r="AL57" s="288"/>
      <c r="AM57" s="288"/>
      <c r="AN57" s="289"/>
      <c r="AO57" s="287" t="s">
        <v>109</v>
      </c>
      <c r="AP57" s="288"/>
      <c r="AQ57" s="288"/>
      <c r="AR57" s="288"/>
      <c r="AS57" s="289"/>
      <c r="AT57" s="287" t="s">
        <v>111</v>
      </c>
      <c r="AU57" s="288"/>
      <c r="AV57" s="288"/>
      <c r="AW57" s="288"/>
      <c r="AX57" s="289"/>
      <c r="AY57" s="200"/>
      <c r="AZ57" s="200"/>
      <c r="BA57" s="200"/>
      <c r="BB57" s="200"/>
      <c r="BC57" s="200"/>
      <c r="BD57" s="200"/>
      <c r="BE57" s="200"/>
      <c r="BF57" s="200"/>
      <c r="BG57" s="200"/>
      <c r="BH57" s="200"/>
      <c r="BI57" s="200"/>
      <c r="BJ57" s="200"/>
      <c r="BK57" s="200"/>
      <c r="BL57" s="200"/>
      <c r="BM57" s="200"/>
      <c r="BN57" s="200"/>
      <c r="BO57" s="200"/>
      <c r="BP57" s="200"/>
      <c r="BQ57" s="200"/>
      <c r="BR57" s="200"/>
    </row>
    <row r="58" spans="2:70" ht="46.5" thickTop="1" thickBot="1" x14ac:dyDescent="0.3">
      <c r="B58" s="13" t="s">
        <v>1</v>
      </c>
      <c r="C58" t="s">
        <v>2</v>
      </c>
      <c r="D58" s="152" t="s">
        <v>70</v>
      </c>
      <c r="E58"/>
      <c r="F58" s="208" t="s">
        <v>127</v>
      </c>
      <c r="G58" s="210" t="s">
        <v>145</v>
      </c>
      <c r="H58" s="210" t="s">
        <v>146</v>
      </c>
      <c r="I58" s="162" t="s">
        <v>128</v>
      </c>
      <c r="J58" s="172" t="s">
        <v>129</v>
      </c>
      <c r="K58" s="208" t="s">
        <v>127</v>
      </c>
      <c r="L58" s="210" t="s">
        <v>145</v>
      </c>
      <c r="M58" s="210" t="s">
        <v>146</v>
      </c>
      <c r="N58" s="162" t="s">
        <v>128</v>
      </c>
      <c r="O58" s="172" t="s">
        <v>129</v>
      </c>
      <c r="P58" s="208" t="s">
        <v>127</v>
      </c>
      <c r="Q58" s="210" t="s">
        <v>145</v>
      </c>
      <c r="R58" s="210" t="s">
        <v>146</v>
      </c>
      <c r="S58" s="162" t="s">
        <v>128</v>
      </c>
      <c r="T58" s="172" t="s">
        <v>129</v>
      </c>
      <c r="U58" s="208" t="s">
        <v>127</v>
      </c>
      <c r="V58" s="210" t="s">
        <v>145</v>
      </c>
      <c r="W58" s="210" t="s">
        <v>146</v>
      </c>
      <c r="X58" s="162" t="s">
        <v>128</v>
      </c>
      <c r="Y58" s="172" t="s">
        <v>129</v>
      </c>
      <c r="Z58" s="208" t="s">
        <v>127</v>
      </c>
      <c r="AA58" s="210" t="s">
        <v>145</v>
      </c>
      <c r="AB58" s="210" t="s">
        <v>146</v>
      </c>
      <c r="AC58" s="162" t="s">
        <v>128</v>
      </c>
      <c r="AD58" s="172" t="s">
        <v>129</v>
      </c>
      <c r="AE58" s="208" t="s">
        <v>127</v>
      </c>
      <c r="AF58" s="210" t="s">
        <v>145</v>
      </c>
      <c r="AG58" s="210" t="s">
        <v>146</v>
      </c>
      <c r="AH58" s="162" t="s">
        <v>128</v>
      </c>
      <c r="AI58" s="172" t="s">
        <v>129</v>
      </c>
      <c r="AJ58" s="208" t="s">
        <v>127</v>
      </c>
      <c r="AK58" s="210" t="s">
        <v>145</v>
      </c>
      <c r="AL58" s="210" t="s">
        <v>146</v>
      </c>
      <c r="AM58" s="162" t="s">
        <v>128</v>
      </c>
      <c r="AN58" s="172" t="s">
        <v>129</v>
      </c>
      <c r="AO58" s="208" t="s">
        <v>127</v>
      </c>
      <c r="AP58" s="210" t="s">
        <v>145</v>
      </c>
      <c r="AQ58" s="210" t="s">
        <v>146</v>
      </c>
      <c r="AR58" s="162" t="s">
        <v>128</v>
      </c>
      <c r="AS58" s="172" t="s">
        <v>129</v>
      </c>
      <c r="AT58" s="209" t="s">
        <v>127</v>
      </c>
      <c r="AU58" s="210" t="s">
        <v>145</v>
      </c>
      <c r="AV58" s="210" t="s">
        <v>146</v>
      </c>
      <c r="AW58" s="162" t="s">
        <v>128</v>
      </c>
      <c r="AX58" s="162" t="s">
        <v>129</v>
      </c>
      <c r="BR58" s="33"/>
    </row>
    <row r="59" spans="2:70" ht="15" customHeight="1" thickTop="1" x14ac:dyDescent="0.25">
      <c r="B59" s="222">
        <v>1</v>
      </c>
      <c r="C59" s="223" t="s">
        <v>108</v>
      </c>
      <c r="D59" s="224">
        <f>SUM(D60:D63)</f>
        <v>0.75497130985358141</v>
      </c>
      <c r="E59" s="290" t="s">
        <v>154</v>
      </c>
      <c r="F59" s="201">
        <v>4</v>
      </c>
      <c r="G59" s="202">
        <v>2</v>
      </c>
      <c r="H59" s="202">
        <v>1</v>
      </c>
      <c r="I59" s="186">
        <v>61.050000000000004</v>
      </c>
      <c r="J59" s="226">
        <v>0.75497130985358141</v>
      </c>
      <c r="K59" s="201">
        <v>1</v>
      </c>
      <c r="L59" s="202">
        <v>1</v>
      </c>
      <c r="M59" s="202">
        <v>2</v>
      </c>
      <c r="N59" s="186">
        <v>33</v>
      </c>
      <c r="O59" s="179">
        <v>0.52380952380952384</v>
      </c>
      <c r="P59" s="201">
        <v>1</v>
      </c>
      <c r="Q59" s="202">
        <v>1</v>
      </c>
      <c r="R59" s="202">
        <v>3</v>
      </c>
      <c r="S59" s="186">
        <v>33</v>
      </c>
      <c r="T59" s="181">
        <v>0.52380952380952384</v>
      </c>
      <c r="U59" s="201">
        <v>1</v>
      </c>
      <c r="V59" s="202">
        <v>1</v>
      </c>
      <c r="W59" s="202">
        <v>1</v>
      </c>
      <c r="X59" s="186">
        <v>33</v>
      </c>
      <c r="Y59" s="179">
        <v>0.2789518174133559</v>
      </c>
      <c r="Z59" s="201">
        <v>4</v>
      </c>
      <c r="AA59" s="195">
        <f>G59-1</f>
        <v>1</v>
      </c>
      <c r="AB59" s="202">
        <v>2</v>
      </c>
      <c r="AC59" s="186">
        <v>61.050000000000004</v>
      </c>
      <c r="AD59" s="179">
        <v>0.24666666666666667</v>
      </c>
      <c r="AE59" s="160">
        <v>4</v>
      </c>
      <c r="AF59" s="196">
        <v>1</v>
      </c>
      <c r="AG59" s="160">
        <v>3</v>
      </c>
      <c r="AH59" s="33">
        <v>61.050000000000004</v>
      </c>
      <c r="AI59" s="180">
        <f>IF(AF59&gt;0,0.226299694189602,0)</f>
        <v>0.226299694189602</v>
      </c>
      <c r="AJ59" s="201">
        <v>5</v>
      </c>
      <c r="AK59" s="202">
        <v>2</v>
      </c>
      <c r="AL59" s="202">
        <v>2</v>
      </c>
      <c r="AM59" s="186">
        <v>106.92</v>
      </c>
      <c r="AN59" s="181">
        <v>4.6712139498560996E-3</v>
      </c>
      <c r="AO59" s="201">
        <v>2</v>
      </c>
      <c r="AP59" s="202">
        <v>1</v>
      </c>
      <c r="AQ59" s="202">
        <v>1</v>
      </c>
      <c r="AR59" s="186">
        <v>0.22710755813953487</v>
      </c>
      <c r="AS59" s="181">
        <v>2.1567669338987167E-3</v>
      </c>
      <c r="AT59" s="201">
        <v>3</v>
      </c>
      <c r="AU59" s="202">
        <v>5</v>
      </c>
      <c r="AV59" s="202">
        <v>2</v>
      </c>
      <c r="AW59" s="186">
        <v>7.9156829940340145</v>
      </c>
      <c r="AX59" s="181">
        <v>1.8440729164901607E-8</v>
      </c>
      <c r="BR59" s="33"/>
    </row>
    <row r="60" spans="2:70" x14ac:dyDescent="0.25">
      <c r="B60" s="60"/>
      <c r="C60" s="43"/>
      <c r="D60" s="51">
        <f>J59</f>
        <v>0.75497130985358141</v>
      </c>
      <c r="E60" s="290"/>
      <c r="F60" s="201">
        <v>5</v>
      </c>
      <c r="G60" s="202">
        <v>2</v>
      </c>
      <c r="H60" s="202">
        <v>1</v>
      </c>
      <c r="I60" s="186">
        <v>106.92</v>
      </c>
      <c r="J60" s="226">
        <v>3.0877531830542072E-2</v>
      </c>
      <c r="K60" s="201"/>
      <c r="L60" s="202"/>
      <c r="M60" s="202"/>
      <c r="N60" s="186"/>
      <c r="O60" s="179"/>
      <c r="P60" s="201"/>
      <c r="Q60" s="202"/>
      <c r="R60" s="202"/>
      <c r="S60" s="186"/>
      <c r="T60" s="179"/>
      <c r="U60" s="201"/>
      <c r="V60" s="202"/>
      <c r="W60" s="202"/>
      <c r="X60" s="186"/>
      <c r="Y60" s="179"/>
      <c r="Z60" s="201">
        <v>6</v>
      </c>
      <c r="AA60" s="202">
        <v>3</v>
      </c>
      <c r="AB60" s="202">
        <v>3</v>
      </c>
      <c r="AC60" s="186">
        <v>6.9120000000000008</v>
      </c>
      <c r="AD60" s="179">
        <v>1.626352941176471E-8</v>
      </c>
      <c r="AE60" s="160">
        <v>6</v>
      </c>
      <c r="AF60" s="160">
        <v>3</v>
      </c>
      <c r="AG60" s="160">
        <v>5</v>
      </c>
      <c r="AH60" s="33">
        <v>6.9120000000000008</v>
      </c>
      <c r="AI60" s="180">
        <v>1.4920669185105235E-8</v>
      </c>
      <c r="AJ60" s="201">
        <v>6</v>
      </c>
      <c r="AK60" s="202">
        <v>3</v>
      </c>
      <c r="AL60" s="202">
        <v>4</v>
      </c>
      <c r="AM60" s="186">
        <v>6.9120000000000008</v>
      </c>
      <c r="AN60" s="179">
        <v>1.6102504368083868E-8</v>
      </c>
      <c r="AO60" s="201"/>
      <c r="AP60" s="202"/>
      <c r="AQ60" s="202"/>
      <c r="AR60" s="186"/>
      <c r="AS60" s="179"/>
      <c r="AT60" s="201">
        <v>6</v>
      </c>
      <c r="AU60" s="202">
        <v>3</v>
      </c>
      <c r="AV60" s="202">
        <v>2</v>
      </c>
      <c r="AW60" s="186">
        <v>6.9120000000000008</v>
      </c>
      <c r="AX60" s="179">
        <v>1.6102504368083868E-8</v>
      </c>
      <c r="BR60" s="33"/>
    </row>
    <row r="61" spans="2:70" x14ac:dyDescent="0.25">
      <c r="B61" s="60"/>
      <c r="C61" s="43"/>
      <c r="D61" s="51"/>
      <c r="E61" s="290"/>
      <c r="F61" s="201">
        <v>3</v>
      </c>
      <c r="G61" s="202">
        <v>5</v>
      </c>
      <c r="H61" s="202">
        <v>1</v>
      </c>
      <c r="I61" s="186">
        <v>7.992</v>
      </c>
      <c r="J61" s="226">
        <v>2.7673130193905823E-7</v>
      </c>
      <c r="K61" s="201"/>
      <c r="L61" s="202"/>
      <c r="M61" s="202"/>
      <c r="N61" s="186"/>
      <c r="O61" s="179"/>
      <c r="P61" s="201"/>
      <c r="Q61" s="202"/>
      <c r="R61" s="202"/>
      <c r="S61" s="186"/>
      <c r="T61" s="179"/>
      <c r="U61" s="201"/>
      <c r="V61" s="202"/>
      <c r="W61" s="202"/>
      <c r="X61" s="186"/>
      <c r="Y61" s="179"/>
      <c r="Z61" s="201"/>
      <c r="AA61" s="202"/>
      <c r="AB61" s="202"/>
      <c r="AC61" s="186"/>
      <c r="AD61" s="179"/>
      <c r="AE61" s="203"/>
      <c r="AF61" s="203"/>
      <c r="AG61" s="203"/>
      <c r="AH61" s="200"/>
      <c r="AI61" s="180"/>
      <c r="AJ61" s="201"/>
      <c r="AK61" s="202"/>
      <c r="AL61" s="202"/>
      <c r="AM61" s="186"/>
      <c r="AN61" s="179"/>
      <c r="AO61" s="201"/>
      <c r="AP61" s="202"/>
      <c r="AQ61" s="202"/>
      <c r="AR61" s="186"/>
      <c r="AS61" s="179"/>
      <c r="AT61" s="201"/>
      <c r="AU61" s="202"/>
      <c r="AV61" s="202"/>
      <c r="AW61" s="186"/>
      <c r="AX61" s="179"/>
      <c r="BR61" s="33"/>
    </row>
    <row r="62" spans="2:70" x14ac:dyDescent="0.25">
      <c r="B62" s="60"/>
      <c r="C62" s="43"/>
      <c r="D62" s="51"/>
      <c r="E62" s="290"/>
      <c r="F62" s="201">
        <v>6</v>
      </c>
      <c r="G62" s="202">
        <v>3</v>
      </c>
      <c r="H62" s="202">
        <v>1</v>
      </c>
      <c r="I62" s="186">
        <v>6.9120000000000008</v>
      </c>
      <c r="J62" s="226">
        <v>2.3933518005540168E-7</v>
      </c>
      <c r="K62" s="201"/>
      <c r="L62" s="202"/>
      <c r="M62" s="202"/>
      <c r="N62" s="186"/>
      <c r="O62" s="179"/>
      <c r="P62" s="201"/>
      <c r="Q62" s="202"/>
      <c r="R62" s="202"/>
      <c r="S62" s="186"/>
      <c r="T62" s="179"/>
      <c r="U62" s="201"/>
      <c r="V62" s="202"/>
      <c r="W62" s="202"/>
      <c r="X62" s="186"/>
      <c r="Y62" s="179"/>
      <c r="Z62" s="201"/>
      <c r="AA62" s="202"/>
      <c r="AB62" s="202"/>
      <c r="AC62" s="186"/>
      <c r="AD62" s="179"/>
      <c r="AE62" s="203"/>
      <c r="AF62" s="203"/>
      <c r="AG62" s="203"/>
      <c r="AH62" s="200"/>
      <c r="AI62" s="180"/>
      <c r="AJ62" s="201"/>
      <c r="AK62" s="202"/>
      <c r="AL62" s="202"/>
      <c r="AM62" s="186"/>
      <c r="AN62" s="179"/>
      <c r="AO62" s="201"/>
      <c r="AP62" s="202"/>
      <c r="AQ62" s="202"/>
      <c r="AR62" s="186"/>
      <c r="AS62" s="179"/>
      <c r="AT62" s="201"/>
      <c r="AU62" s="202"/>
      <c r="AV62" s="202"/>
      <c r="AW62" s="186"/>
      <c r="AX62" s="179"/>
      <c r="BR62" s="33"/>
    </row>
    <row r="63" spans="2:70" x14ac:dyDescent="0.25">
      <c r="B63" s="60"/>
      <c r="C63" s="43"/>
      <c r="D63" s="51"/>
      <c r="E63" s="290"/>
      <c r="F63" s="202"/>
      <c r="G63" s="202"/>
      <c r="H63" s="202"/>
      <c r="I63" s="186"/>
      <c r="J63" s="186"/>
      <c r="K63" s="202"/>
      <c r="L63" s="202"/>
      <c r="M63" s="202"/>
      <c r="N63" s="186"/>
      <c r="O63" s="186"/>
      <c r="P63" s="202"/>
      <c r="Q63" s="202"/>
      <c r="R63" s="202"/>
      <c r="S63" s="186"/>
      <c r="T63" s="186"/>
      <c r="U63" s="202"/>
      <c r="V63" s="202"/>
      <c r="W63" s="202"/>
      <c r="X63" s="186"/>
      <c r="Y63" s="186"/>
      <c r="Z63" s="202"/>
      <c r="AA63" s="202"/>
      <c r="AB63" s="202"/>
      <c r="AC63" s="186"/>
      <c r="AD63" s="186"/>
      <c r="AE63" s="203"/>
      <c r="AF63" s="203"/>
      <c r="AG63" s="203"/>
      <c r="AH63" s="200"/>
      <c r="AI63" s="200"/>
      <c r="AJ63" s="202"/>
      <c r="AK63" s="202"/>
      <c r="AL63" s="202"/>
      <c r="AM63" s="186"/>
      <c r="AN63" s="186"/>
      <c r="AO63" s="202"/>
      <c r="AP63" s="202"/>
      <c r="AQ63" s="202"/>
      <c r="AR63" s="186"/>
      <c r="AS63" s="186"/>
      <c r="AT63" s="202"/>
      <c r="AU63" s="202"/>
      <c r="AV63" s="202"/>
      <c r="AW63" s="186"/>
      <c r="AX63" s="186"/>
      <c r="AY63" s="200"/>
      <c r="AZ63" s="200"/>
      <c r="BR63" s="33"/>
    </row>
    <row r="64" spans="2:70" ht="26.25" x14ac:dyDescent="0.4">
      <c r="F64" s="232" t="s">
        <v>143</v>
      </c>
    </row>
    <row r="65" spans="2:73" ht="18.75" x14ac:dyDescent="0.3">
      <c r="B65" s="12"/>
      <c r="C65" s="4"/>
      <c r="D65" s="117"/>
      <c r="F65" s="184" t="s">
        <v>158</v>
      </c>
      <c r="BU65" s="80">
        <f>B119</f>
        <v>0</v>
      </c>
    </row>
    <row r="66" spans="2:73" ht="18.75" x14ac:dyDescent="0.3">
      <c r="B66" s="12"/>
      <c r="C66" s="4"/>
      <c r="D66" s="117"/>
      <c r="F66" s="184" t="s">
        <v>156</v>
      </c>
      <c r="BU66" s="80"/>
    </row>
    <row r="67" spans="2:73" ht="26.25" x14ac:dyDescent="0.4">
      <c r="F67" s="220"/>
      <c r="G67" s="218"/>
      <c r="H67" s="218">
        <v>3</v>
      </c>
      <c r="I67" s="36"/>
      <c r="J67" s="36"/>
      <c r="K67" s="218"/>
      <c r="L67" s="218"/>
      <c r="M67" s="218">
        <v>8</v>
      </c>
      <c r="N67" s="36"/>
      <c r="O67" s="36"/>
      <c r="P67" s="218"/>
      <c r="Q67" s="218"/>
      <c r="R67" s="218">
        <v>9</v>
      </c>
      <c r="S67" s="36"/>
      <c r="T67" s="36"/>
      <c r="U67" s="218"/>
      <c r="V67" s="218"/>
      <c r="W67" s="218">
        <v>7</v>
      </c>
      <c r="X67" s="36"/>
      <c r="Y67" s="36"/>
      <c r="Z67" s="218"/>
      <c r="AA67" s="218"/>
      <c r="AB67" s="218">
        <v>5</v>
      </c>
      <c r="AC67" s="36"/>
      <c r="AD67" s="36"/>
      <c r="AE67" s="218"/>
      <c r="AF67" s="218"/>
      <c r="AG67" s="218">
        <v>10</v>
      </c>
      <c r="AH67" s="36"/>
      <c r="AI67" s="36"/>
      <c r="AJ67" s="218"/>
      <c r="AK67" s="218"/>
      <c r="AL67" s="218">
        <v>6</v>
      </c>
      <c r="AM67" s="36"/>
      <c r="AN67" s="36"/>
      <c r="AO67" s="218"/>
      <c r="AP67" s="218"/>
      <c r="AQ67" s="218">
        <v>2</v>
      </c>
      <c r="AR67" s="36"/>
      <c r="AS67" s="36"/>
      <c r="AT67" s="218"/>
      <c r="AU67" s="218"/>
      <c r="AV67" s="218">
        <v>4</v>
      </c>
      <c r="AW67" s="36"/>
      <c r="AX67" s="36"/>
    </row>
    <row r="68" spans="2:73" s="68" customFormat="1" ht="27" thickBot="1" x14ac:dyDescent="0.45">
      <c r="B68" s="197"/>
      <c r="C68" s="198"/>
      <c r="D68" s="199"/>
      <c r="F68" s="284" t="s">
        <v>138</v>
      </c>
      <c r="G68" s="285"/>
      <c r="H68" s="285"/>
      <c r="I68" s="285"/>
      <c r="J68" s="286"/>
      <c r="K68" s="284" t="s">
        <v>115</v>
      </c>
      <c r="L68" s="285"/>
      <c r="M68" s="285"/>
      <c r="N68" s="285"/>
      <c r="O68" s="286"/>
      <c r="P68" s="284" t="s">
        <v>116</v>
      </c>
      <c r="Q68" s="285"/>
      <c r="R68" s="285"/>
      <c r="S68" s="285"/>
      <c r="T68" s="286"/>
      <c r="U68" s="284" t="s">
        <v>114</v>
      </c>
      <c r="V68" s="285"/>
      <c r="W68" s="285"/>
      <c r="X68" s="285"/>
      <c r="Y68" s="286"/>
      <c r="Z68" s="284" t="s">
        <v>123</v>
      </c>
      <c r="AA68" s="285"/>
      <c r="AB68" s="285"/>
      <c r="AC68" s="285"/>
      <c r="AD68" s="286"/>
      <c r="AE68" s="285" t="s">
        <v>117</v>
      </c>
      <c r="AF68" s="285"/>
      <c r="AG68" s="285"/>
      <c r="AH68" s="285"/>
      <c r="AI68" s="285"/>
      <c r="AJ68" s="284" t="s">
        <v>113</v>
      </c>
      <c r="AK68" s="285"/>
      <c r="AL68" s="285"/>
      <c r="AM68" s="285"/>
      <c r="AN68" s="286"/>
      <c r="AO68" s="284" t="s">
        <v>109</v>
      </c>
      <c r="AP68" s="285"/>
      <c r="AQ68" s="285"/>
      <c r="AR68" s="285"/>
      <c r="AS68" s="286"/>
      <c r="AT68" s="284" t="s">
        <v>111</v>
      </c>
      <c r="AU68" s="285"/>
      <c r="AV68" s="285"/>
      <c r="AW68" s="285"/>
      <c r="AX68" s="286"/>
      <c r="AY68" s="200"/>
      <c r="AZ68" s="200"/>
      <c r="BA68" s="200"/>
      <c r="BB68" s="200"/>
      <c r="BC68" s="200"/>
      <c r="BD68" s="200"/>
      <c r="BE68" s="200"/>
      <c r="BF68" s="200"/>
      <c r="BG68" s="200"/>
      <c r="BH68" s="200"/>
      <c r="BI68" s="200"/>
      <c r="BJ68" s="200"/>
      <c r="BK68" s="200"/>
      <c r="BL68" s="200"/>
      <c r="BM68" s="200"/>
      <c r="BN68" s="200"/>
      <c r="BO68" s="200"/>
      <c r="BP68" s="200"/>
      <c r="BQ68" s="200"/>
      <c r="BR68" s="200"/>
    </row>
    <row r="69" spans="2:73" ht="46.5" thickTop="1" thickBot="1" x14ac:dyDescent="0.3">
      <c r="B69" s="13" t="s">
        <v>1</v>
      </c>
      <c r="C69" t="s">
        <v>2</v>
      </c>
      <c r="D69" s="152" t="s">
        <v>70</v>
      </c>
      <c r="E69"/>
      <c r="F69" s="208" t="s">
        <v>127</v>
      </c>
      <c r="G69" s="210" t="s">
        <v>145</v>
      </c>
      <c r="H69" s="210" t="s">
        <v>146</v>
      </c>
      <c r="I69" s="162" t="s">
        <v>128</v>
      </c>
      <c r="J69" s="172" t="s">
        <v>129</v>
      </c>
      <c r="K69" s="208" t="s">
        <v>127</v>
      </c>
      <c r="L69" s="210" t="s">
        <v>145</v>
      </c>
      <c r="M69" s="210" t="s">
        <v>146</v>
      </c>
      <c r="N69" s="162" t="s">
        <v>128</v>
      </c>
      <c r="O69" s="172" t="s">
        <v>129</v>
      </c>
      <c r="P69" s="208" t="s">
        <v>127</v>
      </c>
      <c r="Q69" s="210" t="s">
        <v>145</v>
      </c>
      <c r="R69" s="210" t="s">
        <v>146</v>
      </c>
      <c r="S69" s="162" t="s">
        <v>128</v>
      </c>
      <c r="T69" s="172" t="s">
        <v>129</v>
      </c>
      <c r="U69" s="208" t="s">
        <v>127</v>
      </c>
      <c r="V69" s="210" t="s">
        <v>145</v>
      </c>
      <c r="W69" s="210" t="s">
        <v>146</v>
      </c>
      <c r="X69" s="162" t="s">
        <v>128</v>
      </c>
      <c r="Y69" s="172" t="s">
        <v>129</v>
      </c>
      <c r="Z69" s="208" t="s">
        <v>127</v>
      </c>
      <c r="AA69" s="210" t="s">
        <v>145</v>
      </c>
      <c r="AB69" s="210" t="s">
        <v>146</v>
      </c>
      <c r="AC69" s="162" t="s">
        <v>128</v>
      </c>
      <c r="AD69" s="172" t="s">
        <v>129</v>
      </c>
      <c r="AE69" s="211" t="s">
        <v>127</v>
      </c>
      <c r="AF69" s="210" t="s">
        <v>145</v>
      </c>
      <c r="AG69" s="210" t="s">
        <v>146</v>
      </c>
      <c r="AH69" s="162" t="s">
        <v>128</v>
      </c>
      <c r="AI69" s="172" t="s">
        <v>129</v>
      </c>
      <c r="AJ69" s="211" t="s">
        <v>127</v>
      </c>
      <c r="AK69" s="210" t="s">
        <v>145</v>
      </c>
      <c r="AL69" s="210" t="s">
        <v>146</v>
      </c>
      <c r="AM69" s="162" t="s">
        <v>128</v>
      </c>
      <c r="AN69" s="172" t="s">
        <v>129</v>
      </c>
      <c r="AO69" s="211" t="s">
        <v>127</v>
      </c>
      <c r="AP69" s="210" t="s">
        <v>145</v>
      </c>
      <c r="AQ69" s="210" t="s">
        <v>146</v>
      </c>
      <c r="AR69" s="162" t="s">
        <v>128</v>
      </c>
      <c r="AS69" s="172" t="s">
        <v>129</v>
      </c>
      <c r="AT69" s="212" t="s">
        <v>127</v>
      </c>
      <c r="AU69" s="210" t="s">
        <v>145</v>
      </c>
      <c r="AV69" s="210" t="s">
        <v>146</v>
      </c>
      <c r="AW69" s="162" t="s">
        <v>128</v>
      </c>
      <c r="AX69" s="162" t="s">
        <v>129</v>
      </c>
      <c r="BR69" s="33"/>
    </row>
    <row r="70" spans="2:73" ht="15.75" thickTop="1" x14ac:dyDescent="0.25">
      <c r="B70" s="222">
        <v>1</v>
      </c>
      <c r="C70" s="223" t="s">
        <v>108</v>
      </c>
      <c r="D70" s="224">
        <f>SUM(D71:D73)</f>
        <v>0.75497130985358141</v>
      </c>
      <c r="E70"/>
      <c r="F70" s="173">
        <v>4</v>
      </c>
      <c r="G70" s="202">
        <v>2</v>
      </c>
      <c r="H70" s="174">
        <v>1</v>
      </c>
      <c r="I70" s="175">
        <v>61.050000000000004</v>
      </c>
      <c r="J70" s="179">
        <v>0.75497130985358141</v>
      </c>
      <c r="K70" s="173">
        <v>1</v>
      </c>
      <c r="L70" s="202">
        <v>1</v>
      </c>
      <c r="M70" s="174">
        <v>2</v>
      </c>
      <c r="N70" s="175">
        <v>33</v>
      </c>
      <c r="O70" s="179">
        <v>0.52380952380952384</v>
      </c>
      <c r="P70" s="173">
        <v>1</v>
      </c>
      <c r="Q70" s="202">
        <v>1</v>
      </c>
      <c r="R70" s="174">
        <v>3</v>
      </c>
      <c r="S70" s="175">
        <v>33</v>
      </c>
      <c r="T70" s="181">
        <f xml:space="preserve"> IF(Q70&gt;0,0.523809523809524,0)</f>
        <v>0.52380952380952395</v>
      </c>
      <c r="U70" s="173">
        <v>1</v>
      </c>
      <c r="V70" s="202">
        <v>1</v>
      </c>
      <c r="W70" s="174">
        <v>1</v>
      </c>
      <c r="X70" s="175">
        <v>33</v>
      </c>
      <c r="Y70" s="179">
        <f>IF(V70&gt;0,0.278951817413356,0)</f>
        <v>0.27895181741335601</v>
      </c>
      <c r="Z70" s="173">
        <v>4</v>
      </c>
      <c r="AA70" s="202">
        <f>G70-1</f>
        <v>1</v>
      </c>
      <c r="AB70" s="174">
        <v>2</v>
      </c>
      <c r="AC70" s="175">
        <v>61.050000000000004</v>
      </c>
      <c r="AD70" s="179">
        <v>0.24666666666666667</v>
      </c>
      <c r="AE70" s="160">
        <v>4</v>
      </c>
      <c r="AF70" s="196">
        <v>1</v>
      </c>
      <c r="AG70" s="160">
        <v>3</v>
      </c>
      <c r="AH70" s="33">
        <v>61.050000000000004</v>
      </c>
      <c r="AI70" s="180">
        <f>IF(AF70&gt;0,0.226299694189602,0)</f>
        <v>0.226299694189602</v>
      </c>
      <c r="AJ70" s="201">
        <v>5</v>
      </c>
      <c r="AK70" s="202">
        <v>2</v>
      </c>
      <c r="AL70" s="202">
        <v>2</v>
      </c>
      <c r="AM70" s="186">
        <v>106.92</v>
      </c>
      <c r="AN70" s="181">
        <v>4.6712139498560996E-3</v>
      </c>
      <c r="AO70" s="201">
        <v>2</v>
      </c>
      <c r="AP70" s="202">
        <v>1</v>
      </c>
      <c r="AQ70" s="202">
        <v>1</v>
      </c>
      <c r="AR70" s="186">
        <v>0.22710755813953487</v>
      </c>
      <c r="AS70" s="181">
        <v>2.1567669338987167E-3</v>
      </c>
      <c r="AT70" s="201">
        <v>3</v>
      </c>
      <c r="AU70" s="202">
        <v>5</v>
      </c>
      <c r="AV70" s="202">
        <v>2</v>
      </c>
      <c r="AW70" s="186">
        <v>7.9156829940340145</v>
      </c>
      <c r="AX70" s="181">
        <v>1.8440729164901607E-8</v>
      </c>
      <c r="BR70" s="33"/>
    </row>
    <row r="71" spans="2:73" x14ac:dyDescent="0.25">
      <c r="B71" s="60"/>
      <c r="C71" s="43"/>
      <c r="D71" s="51">
        <f>J70</f>
        <v>0.75497130985358141</v>
      </c>
      <c r="E71"/>
      <c r="F71" s="173">
        <v>5</v>
      </c>
      <c r="G71" s="174">
        <v>2</v>
      </c>
      <c r="H71" s="174">
        <v>1</v>
      </c>
      <c r="I71" s="175">
        <v>106.92</v>
      </c>
      <c r="J71" s="176">
        <v>3.0877531830542072E-2</v>
      </c>
      <c r="K71" s="173"/>
      <c r="L71" s="174"/>
      <c r="M71" s="174"/>
      <c r="N71" s="175"/>
      <c r="O71" s="176"/>
      <c r="P71" s="173"/>
      <c r="Q71" s="174"/>
      <c r="R71" s="174"/>
      <c r="S71" s="175"/>
      <c r="T71" s="176"/>
      <c r="U71" s="173"/>
      <c r="V71" s="174"/>
      <c r="W71" s="174"/>
      <c r="X71" s="175"/>
      <c r="Y71" s="176"/>
      <c r="Z71" s="173">
        <v>6</v>
      </c>
      <c r="AA71" s="174">
        <v>3</v>
      </c>
      <c r="AB71" s="174">
        <v>3</v>
      </c>
      <c r="AC71" s="175">
        <v>6.9120000000000008</v>
      </c>
      <c r="AD71" s="176">
        <v>1.626352941176471E-8</v>
      </c>
      <c r="AE71" s="160">
        <v>6</v>
      </c>
      <c r="AF71" s="160">
        <v>3</v>
      </c>
      <c r="AG71" s="160">
        <v>5</v>
      </c>
      <c r="AH71" s="33">
        <v>6.9120000000000008</v>
      </c>
      <c r="AI71" s="200">
        <v>1.4920669185105235E-8</v>
      </c>
      <c r="AJ71" s="201">
        <v>6</v>
      </c>
      <c r="AK71" s="202">
        <v>3</v>
      </c>
      <c r="AL71" s="202">
        <v>4</v>
      </c>
      <c r="AM71" s="186">
        <v>6.9120000000000008</v>
      </c>
      <c r="AN71" s="194">
        <v>1.6102504368083868E-8</v>
      </c>
      <c r="AO71" s="201"/>
      <c r="AP71" s="202"/>
      <c r="AQ71" s="202"/>
      <c r="AR71" s="186"/>
      <c r="AS71" s="194"/>
      <c r="AT71" s="201">
        <v>6</v>
      </c>
      <c r="AU71" s="202">
        <v>3</v>
      </c>
      <c r="AV71" s="202">
        <v>2</v>
      </c>
      <c r="AW71" s="186">
        <v>6.9120000000000008</v>
      </c>
      <c r="AX71" s="194">
        <v>1.6102504368083868E-8</v>
      </c>
      <c r="BR71" s="33"/>
    </row>
    <row r="72" spans="2:73" x14ac:dyDescent="0.25">
      <c r="B72" s="60"/>
      <c r="C72" s="43"/>
      <c r="D72" s="51"/>
      <c r="F72" s="173">
        <v>3</v>
      </c>
      <c r="G72" s="174">
        <v>5</v>
      </c>
      <c r="H72" s="174">
        <v>1</v>
      </c>
      <c r="I72" s="175">
        <v>7.992</v>
      </c>
      <c r="J72" s="176">
        <v>2.7673130193905823E-7</v>
      </c>
      <c r="K72" s="173"/>
      <c r="L72" s="174"/>
      <c r="M72" s="174"/>
      <c r="N72" s="175"/>
      <c r="O72" s="176"/>
      <c r="P72" s="173"/>
      <c r="Q72" s="174"/>
      <c r="R72" s="174"/>
      <c r="S72" s="175"/>
      <c r="T72" s="176"/>
      <c r="U72" s="173"/>
      <c r="V72" s="174"/>
      <c r="W72" s="174"/>
      <c r="X72" s="175"/>
      <c r="Y72" s="176"/>
      <c r="Z72" s="173"/>
      <c r="AA72" s="174"/>
      <c r="AB72" s="174"/>
      <c r="AC72" s="175"/>
      <c r="AD72" s="176"/>
      <c r="AE72" s="203"/>
      <c r="AF72" s="203"/>
      <c r="AG72" s="203"/>
      <c r="AH72" s="200"/>
      <c r="AI72" s="200"/>
      <c r="AJ72" s="201"/>
      <c r="AK72" s="202"/>
      <c r="AL72" s="202"/>
      <c r="AM72" s="186"/>
      <c r="AN72" s="194"/>
      <c r="AO72" s="201"/>
      <c r="AP72" s="202"/>
      <c r="AQ72" s="202"/>
      <c r="AR72" s="186"/>
      <c r="AS72" s="194"/>
      <c r="AT72" s="201"/>
      <c r="AU72" s="202"/>
      <c r="AV72" s="202"/>
      <c r="AW72" s="186"/>
      <c r="AX72" s="194"/>
      <c r="BR72" s="33"/>
    </row>
    <row r="73" spans="2:73" x14ac:dyDescent="0.25">
      <c r="B73" s="60"/>
      <c r="C73" s="43"/>
      <c r="D73" s="51"/>
      <c r="F73" s="173">
        <v>6</v>
      </c>
      <c r="G73" s="174">
        <v>3</v>
      </c>
      <c r="H73" s="174">
        <v>1</v>
      </c>
      <c r="I73" s="175">
        <v>6.9120000000000008</v>
      </c>
      <c r="J73" s="176">
        <v>2.3933518005540168E-7</v>
      </c>
      <c r="K73" s="173"/>
      <c r="L73" s="174"/>
      <c r="M73" s="174"/>
      <c r="N73" s="175"/>
      <c r="O73" s="176"/>
      <c r="P73" s="173"/>
      <c r="Q73" s="174"/>
      <c r="R73" s="174"/>
      <c r="S73" s="175"/>
      <c r="T73" s="176"/>
      <c r="U73" s="173"/>
      <c r="V73" s="174"/>
      <c r="W73" s="174"/>
      <c r="X73" s="175"/>
      <c r="Y73" s="176"/>
      <c r="Z73" s="173"/>
      <c r="AA73" s="174"/>
      <c r="AB73" s="174"/>
      <c r="AC73" s="175"/>
      <c r="AD73" s="176"/>
      <c r="AE73" s="203"/>
      <c r="AF73" s="203"/>
      <c r="AG73" s="203"/>
      <c r="AH73" s="200"/>
      <c r="AI73" s="200"/>
      <c r="AJ73" s="201"/>
      <c r="AK73" s="202"/>
      <c r="AL73" s="202"/>
      <c r="AM73" s="186"/>
      <c r="AN73" s="194"/>
      <c r="AO73" s="201"/>
      <c r="AP73" s="202"/>
      <c r="AQ73" s="202"/>
      <c r="AR73" s="186"/>
      <c r="AS73" s="194"/>
      <c r="AT73" s="201"/>
      <c r="AU73" s="202"/>
      <c r="AV73" s="202"/>
      <c r="AW73" s="186"/>
      <c r="AX73" s="194"/>
      <c r="BR73" s="33"/>
    </row>
    <row r="75" spans="2:73" ht="26.25" x14ac:dyDescent="0.4">
      <c r="F75" s="238" t="s">
        <v>161</v>
      </c>
    </row>
    <row r="76" spans="2:73" s="242" customFormat="1" ht="15.75" x14ac:dyDescent="0.25">
      <c r="B76" s="241"/>
      <c r="D76" s="243"/>
      <c r="E76" s="244"/>
      <c r="F76" s="214" t="s">
        <v>150</v>
      </c>
      <c r="G76" s="246"/>
      <c r="H76" s="246"/>
      <c r="I76" s="246"/>
      <c r="J76" s="246"/>
      <c r="K76" s="246"/>
      <c r="L76" s="246"/>
      <c r="M76" s="246"/>
      <c r="N76" s="246"/>
      <c r="O76" s="244"/>
      <c r="P76" s="244"/>
      <c r="Q76" s="244"/>
      <c r="R76" s="244"/>
      <c r="S76" s="244"/>
      <c r="T76" s="244"/>
      <c r="U76" s="244"/>
      <c r="V76" s="244"/>
      <c r="W76" s="244"/>
    </row>
    <row r="77" spans="2:73" s="242" customFormat="1" ht="15.75" x14ac:dyDescent="0.25">
      <c r="B77" s="241"/>
      <c r="D77" s="243"/>
      <c r="E77" s="244"/>
      <c r="F77" s="256" t="s">
        <v>162</v>
      </c>
      <c r="G77" s="265"/>
      <c r="H77" s="265"/>
      <c r="I77" s="265"/>
      <c r="J77" s="265"/>
      <c r="K77" s="265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6"/>
      <c r="Y77" s="266"/>
      <c r="Z77" s="266"/>
      <c r="AA77" s="266"/>
      <c r="AB77" s="266"/>
    </row>
    <row r="78" spans="2:73" s="242" customFormat="1" ht="15.75" x14ac:dyDescent="0.25">
      <c r="B78" s="241"/>
      <c r="D78" s="243"/>
      <c r="E78" s="244"/>
      <c r="F78" s="214" t="s">
        <v>157</v>
      </c>
      <c r="G78" s="246"/>
      <c r="H78" s="246"/>
      <c r="I78" s="246"/>
      <c r="J78" s="246"/>
      <c r="K78" s="246"/>
      <c r="L78" s="246"/>
      <c r="M78" s="246"/>
      <c r="N78" s="246"/>
      <c r="O78" s="244"/>
      <c r="P78" s="244"/>
      <c r="Q78" s="244"/>
      <c r="R78" s="244"/>
      <c r="S78" s="244"/>
      <c r="T78" s="244"/>
      <c r="U78" s="244"/>
      <c r="V78" s="244"/>
      <c r="W78" s="244"/>
    </row>
    <row r="80" spans="2:73" ht="26.25" x14ac:dyDescent="0.4">
      <c r="F80" s="220"/>
      <c r="G80" s="218"/>
      <c r="H80" s="218">
        <v>3</v>
      </c>
      <c r="I80" s="36"/>
      <c r="J80" s="36"/>
      <c r="K80" s="218"/>
      <c r="L80" s="218"/>
      <c r="M80" s="218">
        <v>8</v>
      </c>
      <c r="N80" s="36"/>
      <c r="O80" s="36"/>
      <c r="P80" s="218"/>
      <c r="Q80" s="218"/>
      <c r="R80" s="218">
        <v>9</v>
      </c>
      <c r="S80" s="36"/>
      <c r="T80" s="36"/>
      <c r="U80" s="218"/>
      <c r="V80" s="218"/>
      <c r="W80" s="218">
        <v>7</v>
      </c>
      <c r="X80" s="36"/>
      <c r="Y80" s="36"/>
      <c r="Z80" s="218"/>
      <c r="AA80" s="218"/>
      <c r="AB80" s="218">
        <v>5</v>
      </c>
      <c r="AC80" s="36"/>
      <c r="AD80" s="36"/>
      <c r="AE80" s="218"/>
      <c r="AF80" s="218"/>
      <c r="AG80" s="218">
        <v>6</v>
      </c>
      <c r="AH80" s="36"/>
      <c r="AI80" s="36"/>
      <c r="AJ80" s="218"/>
      <c r="AK80" s="218"/>
      <c r="AL80" s="218">
        <v>2</v>
      </c>
      <c r="AM80" s="36"/>
      <c r="AN80" s="36"/>
      <c r="AO80" s="218"/>
      <c r="AP80" s="218"/>
      <c r="AQ80" s="218">
        <v>4</v>
      </c>
      <c r="AR80" s="36"/>
      <c r="AS80" s="36"/>
      <c r="AT80" s="218"/>
      <c r="AU80" s="218"/>
      <c r="AV80" s="218">
        <v>10</v>
      </c>
      <c r="AW80" s="36"/>
      <c r="AX80" s="36"/>
    </row>
    <row r="81" spans="2:73" s="68" customFormat="1" ht="27" thickBot="1" x14ac:dyDescent="0.45">
      <c r="B81" s="197"/>
      <c r="C81" s="198"/>
      <c r="D81" s="199"/>
      <c r="F81" s="287" t="s">
        <v>138</v>
      </c>
      <c r="G81" s="288"/>
      <c r="H81" s="288"/>
      <c r="I81" s="288"/>
      <c r="J81" s="289"/>
      <c r="K81" s="287" t="s">
        <v>115</v>
      </c>
      <c r="L81" s="288"/>
      <c r="M81" s="288"/>
      <c r="N81" s="288"/>
      <c r="O81" s="289"/>
      <c r="P81" s="287" t="s">
        <v>116</v>
      </c>
      <c r="Q81" s="288"/>
      <c r="R81" s="288"/>
      <c r="S81" s="288"/>
      <c r="T81" s="289"/>
      <c r="U81" s="287" t="s">
        <v>114</v>
      </c>
      <c r="V81" s="288"/>
      <c r="W81" s="288"/>
      <c r="X81" s="288"/>
      <c r="Y81" s="289"/>
      <c r="Z81" s="287" t="s">
        <v>123</v>
      </c>
      <c r="AA81" s="288"/>
      <c r="AB81" s="288"/>
      <c r="AC81" s="288"/>
      <c r="AD81" s="289"/>
      <c r="AE81" s="287" t="s">
        <v>113</v>
      </c>
      <c r="AF81" s="288"/>
      <c r="AG81" s="288"/>
      <c r="AH81" s="288"/>
      <c r="AI81" s="289"/>
      <c r="AJ81" s="287" t="s">
        <v>109</v>
      </c>
      <c r="AK81" s="288"/>
      <c r="AL81" s="288"/>
      <c r="AM81" s="288"/>
      <c r="AN81" s="289"/>
      <c r="AO81" s="287" t="s">
        <v>111</v>
      </c>
      <c r="AP81" s="288"/>
      <c r="AQ81" s="288"/>
      <c r="AR81" s="288"/>
      <c r="AS81" s="289"/>
      <c r="AT81" s="288" t="s">
        <v>117</v>
      </c>
      <c r="AU81" s="288"/>
      <c r="AV81" s="288"/>
      <c r="AW81" s="288"/>
      <c r="AX81" s="288"/>
      <c r="AY81" s="200"/>
      <c r="AZ81" s="200"/>
      <c r="BA81" s="200"/>
      <c r="BB81" s="200"/>
      <c r="BC81" s="200"/>
      <c r="BD81" s="200"/>
      <c r="BE81" s="200"/>
      <c r="BF81" s="200"/>
      <c r="BG81" s="200"/>
      <c r="BH81" s="200"/>
      <c r="BI81" s="200"/>
      <c r="BJ81" s="200"/>
      <c r="BK81" s="200"/>
      <c r="BL81" s="200"/>
      <c r="BM81" s="200"/>
      <c r="BN81" s="200"/>
      <c r="BO81" s="200"/>
      <c r="BP81" s="200"/>
      <c r="BQ81" s="200"/>
      <c r="BR81" s="200"/>
    </row>
    <row r="82" spans="2:73" ht="46.5" thickTop="1" thickBot="1" x14ac:dyDescent="0.3">
      <c r="B82" s="13" t="s">
        <v>1</v>
      </c>
      <c r="C82" t="s">
        <v>2</v>
      </c>
      <c r="D82" s="152" t="s">
        <v>70</v>
      </c>
      <c r="E82"/>
      <c r="F82" s="208" t="s">
        <v>127</v>
      </c>
      <c r="G82" s="210" t="s">
        <v>145</v>
      </c>
      <c r="H82" s="210" t="s">
        <v>146</v>
      </c>
      <c r="I82" s="162" t="s">
        <v>128</v>
      </c>
      <c r="J82" s="172" t="s">
        <v>129</v>
      </c>
      <c r="K82" s="208" t="s">
        <v>127</v>
      </c>
      <c r="L82" s="210" t="s">
        <v>145</v>
      </c>
      <c r="M82" s="210" t="s">
        <v>146</v>
      </c>
      <c r="N82" s="162" t="s">
        <v>128</v>
      </c>
      <c r="O82" s="172" t="s">
        <v>129</v>
      </c>
      <c r="P82" s="208" t="s">
        <v>127</v>
      </c>
      <c r="Q82" s="210" t="s">
        <v>145</v>
      </c>
      <c r="R82" s="210" t="s">
        <v>146</v>
      </c>
      <c r="S82" s="162" t="s">
        <v>128</v>
      </c>
      <c r="T82" s="172" t="s">
        <v>129</v>
      </c>
      <c r="U82" s="208" t="s">
        <v>127</v>
      </c>
      <c r="V82" s="210" t="s">
        <v>145</v>
      </c>
      <c r="W82" s="210" t="s">
        <v>146</v>
      </c>
      <c r="X82" s="162" t="s">
        <v>128</v>
      </c>
      <c r="Y82" s="172" t="s">
        <v>129</v>
      </c>
      <c r="Z82" s="208" t="s">
        <v>127</v>
      </c>
      <c r="AA82" s="210" t="s">
        <v>145</v>
      </c>
      <c r="AB82" s="210" t="s">
        <v>146</v>
      </c>
      <c r="AC82" s="162" t="s">
        <v>128</v>
      </c>
      <c r="AD82" s="172" t="s">
        <v>129</v>
      </c>
      <c r="AE82" s="208" t="s">
        <v>127</v>
      </c>
      <c r="AF82" s="210" t="s">
        <v>145</v>
      </c>
      <c r="AG82" s="210" t="s">
        <v>146</v>
      </c>
      <c r="AH82" s="162" t="s">
        <v>128</v>
      </c>
      <c r="AI82" s="172" t="s">
        <v>129</v>
      </c>
      <c r="AJ82" s="208" t="s">
        <v>127</v>
      </c>
      <c r="AK82" s="210" t="s">
        <v>145</v>
      </c>
      <c r="AL82" s="210" t="s">
        <v>146</v>
      </c>
      <c r="AM82" s="162" t="s">
        <v>128</v>
      </c>
      <c r="AN82" s="172" t="s">
        <v>129</v>
      </c>
      <c r="AO82" s="208" t="s">
        <v>127</v>
      </c>
      <c r="AP82" s="210" t="s">
        <v>145</v>
      </c>
      <c r="AQ82" s="210" t="s">
        <v>146</v>
      </c>
      <c r="AR82" s="162" t="s">
        <v>128</v>
      </c>
      <c r="AS82" s="172" t="s">
        <v>129</v>
      </c>
      <c r="AT82" s="209" t="s">
        <v>127</v>
      </c>
      <c r="AU82" s="210" t="s">
        <v>145</v>
      </c>
      <c r="AV82" s="210" t="s">
        <v>146</v>
      </c>
      <c r="AW82" s="162" t="s">
        <v>128</v>
      </c>
      <c r="AX82" s="162" t="s">
        <v>129</v>
      </c>
      <c r="BR82" s="33"/>
    </row>
    <row r="83" spans="2:73" ht="16.5" thickTop="1" thickBot="1" x14ac:dyDescent="0.3">
      <c r="B83" s="222">
        <v>1</v>
      </c>
      <c r="C83" s="223" t="s">
        <v>108</v>
      </c>
      <c r="D83" s="224">
        <f>SUM(D84:D86)</f>
        <v>1.2787808336631052</v>
      </c>
      <c r="E83"/>
      <c r="F83" s="173">
        <v>4</v>
      </c>
      <c r="G83" s="202">
        <v>2</v>
      </c>
      <c r="H83" s="174">
        <v>1</v>
      </c>
      <c r="I83" s="175">
        <v>61.050000000000004</v>
      </c>
      <c r="J83" s="194">
        <v>0.75497130985358141</v>
      </c>
      <c r="K83" s="173">
        <v>1</v>
      </c>
      <c r="L83" s="259">
        <v>1</v>
      </c>
      <c r="M83" s="174">
        <v>2</v>
      </c>
      <c r="N83" s="175">
        <v>33</v>
      </c>
      <c r="O83" s="179">
        <v>0.52380952380952384</v>
      </c>
      <c r="P83" s="173">
        <v>1</v>
      </c>
      <c r="Q83" s="259">
        <v>0</v>
      </c>
      <c r="R83" s="174">
        <v>3</v>
      </c>
      <c r="S83" s="175">
        <v>33</v>
      </c>
      <c r="T83" s="260">
        <v>0</v>
      </c>
      <c r="U83" s="173">
        <v>1</v>
      </c>
      <c r="V83" s="259">
        <v>0</v>
      </c>
      <c r="W83" s="174">
        <v>1</v>
      </c>
      <c r="X83" s="175">
        <v>33</v>
      </c>
      <c r="Y83" s="261">
        <v>0</v>
      </c>
      <c r="Z83" s="173">
        <v>4</v>
      </c>
      <c r="AA83" s="202">
        <f>G83-1</f>
        <v>1</v>
      </c>
      <c r="AB83" s="174">
        <v>2</v>
      </c>
      <c r="AC83" s="175">
        <v>61.050000000000004</v>
      </c>
      <c r="AD83" s="179">
        <v>0.24666666666666667</v>
      </c>
      <c r="AE83" s="173">
        <v>5</v>
      </c>
      <c r="AF83" s="174">
        <v>2</v>
      </c>
      <c r="AG83" s="174">
        <v>2</v>
      </c>
      <c r="AH83" s="175">
        <v>106.92</v>
      </c>
      <c r="AI83" s="181">
        <v>4.6712139498560996E-3</v>
      </c>
      <c r="AJ83" s="173">
        <v>2</v>
      </c>
      <c r="AK83" s="174">
        <v>1</v>
      </c>
      <c r="AL83" s="174">
        <v>1</v>
      </c>
      <c r="AM83" s="175">
        <v>0.22710755813953487</v>
      </c>
      <c r="AN83" s="181">
        <v>2.1567669338987167E-3</v>
      </c>
      <c r="AO83" s="173">
        <v>3</v>
      </c>
      <c r="AP83" s="174">
        <v>5</v>
      </c>
      <c r="AQ83" s="174">
        <v>2</v>
      </c>
      <c r="AR83" s="175">
        <v>7.9156829940340145</v>
      </c>
      <c r="AS83" s="205">
        <v>1.8440729164901607E-8</v>
      </c>
      <c r="AT83" s="203">
        <v>6</v>
      </c>
      <c r="AU83" s="203">
        <v>3</v>
      </c>
      <c r="AV83" s="203">
        <v>5</v>
      </c>
      <c r="AW83" s="200">
        <v>6.9120000000000008</v>
      </c>
      <c r="AX83" s="204">
        <v>1.4920669185105235E-8</v>
      </c>
      <c r="BR83" s="33"/>
    </row>
    <row r="84" spans="2:73" ht="15.75" thickTop="1" x14ac:dyDescent="0.25">
      <c r="B84" s="60"/>
      <c r="C84" s="43"/>
      <c r="D84" s="51">
        <f>J83</f>
        <v>0.75497130985358141</v>
      </c>
      <c r="E84"/>
      <c r="F84" s="173">
        <v>5</v>
      </c>
      <c r="G84" s="174">
        <v>2</v>
      </c>
      <c r="H84" s="174">
        <v>1</v>
      </c>
      <c r="I84" s="175">
        <v>106.92</v>
      </c>
      <c r="J84" s="176">
        <v>3.0877531830542072E-2</v>
      </c>
      <c r="K84" s="173"/>
      <c r="L84" s="174"/>
      <c r="M84" s="174"/>
      <c r="N84" s="175"/>
      <c r="O84" s="176"/>
      <c r="P84" s="173"/>
      <c r="Q84" s="174"/>
      <c r="R84" s="174"/>
      <c r="S84" s="175"/>
      <c r="T84" s="176"/>
      <c r="U84" s="173"/>
      <c r="V84" s="174"/>
      <c r="W84" s="174"/>
      <c r="X84" s="175"/>
      <c r="Y84" s="176"/>
      <c r="Z84" s="173">
        <v>6</v>
      </c>
      <c r="AA84" s="174">
        <v>3</v>
      </c>
      <c r="AB84" s="174">
        <v>3</v>
      </c>
      <c r="AC84" s="175">
        <v>6.9120000000000008</v>
      </c>
      <c r="AD84" s="176">
        <v>1.626352941176471E-8</v>
      </c>
      <c r="AE84" s="173">
        <v>6</v>
      </c>
      <c r="AF84" s="174">
        <v>3</v>
      </c>
      <c r="AG84" s="174">
        <v>4</v>
      </c>
      <c r="AH84" s="175">
        <v>6.9120000000000008</v>
      </c>
      <c r="AI84" s="176">
        <v>1.6102504368083868E-8</v>
      </c>
      <c r="AJ84" s="173"/>
      <c r="AK84" s="174"/>
      <c r="AL84" s="174"/>
      <c r="AM84" s="175"/>
      <c r="AN84" s="176"/>
      <c r="AO84" s="173">
        <v>6</v>
      </c>
      <c r="AP84" s="174">
        <v>3</v>
      </c>
      <c r="AQ84" s="174">
        <v>2</v>
      </c>
      <c r="AR84" s="175">
        <v>6.9120000000000008</v>
      </c>
      <c r="AS84" s="176">
        <v>1.6102504368083868E-8</v>
      </c>
      <c r="AT84" s="203">
        <v>4</v>
      </c>
      <c r="AU84" s="203">
        <v>0</v>
      </c>
      <c r="AV84" s="203">
        <v>3</v>
      </c>
      <c r="AW84" s="200">
        <v>61.050000000000004</v>
      </c>
      <c r="AX84" s="200">
        <f>IF(AU84&gt;0,0.226299694189602,0)</f>
        <v>0</v>
      </c>
      <c r="BR84" s="33"/>
    </row>
    <row r="85" spans="2:73" x14ac:dyDescent="0.25">
      <c r="B85" s="60"/>
      <c r="C85" s="43"/>
      <c r="D85" s="51">
        <f>O83</f>
        <v>0.52380952380952384</v>
      </c>
      <c r="F85" s="173">
        <v>3</v>
      </c>
      <c r="G85" s="174">
        <v>5</v>
      </c>
      <c r="H85" s="174">
        <v>1</v>
      </c>
      <c r="I85" s="175">
        <v>7.992</v>
      </c>
      <c r="J85" s="176">
        <v>2.7673130193905823E-7</v>
      </c>
      <c r="K85" s="173"/>
      <c r="L85" s="202"/>
      <c r="M85" s="174"/>
      <c r="N85" s="175"/>
      <c r="O85" s="176"/>
      <c r="P85" s="173"/>
      <c r="Q85" s="174"/>
      <c r="R85" s="174"/>
      <c r="S85" s="175"/>
      <c r="T85" s="176"/>
      <c r="U85" s="173"/>
      <c r="V85" s="174"/>
      <c r="W85" s="174"/>
      <c r="X85" s="175"/>
      <c r="Y85" s="176"/>
      <c r="Z85" s="173"/>
      <c r="AA85" s="174"/>
      <c r="AB85" s="174"/>
      <c r="AC85" s="175"/>
      <c r="AD85" s="176"/>
      <c r="AE85" s="173"/>
      <c r="AF85" s="174"/>
      <c r="AG85" s="174"/>
      <c r="AH85" s="175"/>
      <c r="AI85" s="176"/>
      <c r="AJ85" s="173"/>
      <c r="AK85" s="174"/>
      <c r="AL85" s="174"/>
      <c r="AM85" s="175"/>
      <c r="AN85" s="176"/>
      <c r="AO85" s="173"/>
      <c r="AP85" s="174"/>
      <c r="AQ85" s="174"/>
      <c r="AR85" s="175"/>
      <c r="AS85" s="176"/>
      <c r="AT85" s="203"/>
      <c r="AU85" s="203"/>
      <c r="AV85" s="203"/>
      <c r="AW85" s="200"/>
      <c r="AX85" s="200"/>
      <c r="BR85" s="33"/>
    </row>
    <row r="86" spans="2:73" x14ac:dyDescent="0.25">
      <c r="B86" s="60"/>
      <c r="C86" s="43"/>
      <c r="D86" s="51"/>
      <c r="F86" s="173">
        <v>6</v>
      </c>
      <c r="G86" s="174">
        <v>3</v>
      </c>
      <c r="H86" s="174">
        <v>1</v>
      </c>
      <c r="I86" s="175">
        <v>6.9120000000000008</v>
      </c>
      <c r="J86" s="176">
        <v>2.3933518005540168E-7</v>
      </c>
      <c r="K86" s="173"/>
      <c r="L86" s="174"/>
      <c r="M86" s="174"/>
      <c r="N86" s="175"/>
      <c r="O86" s="176"/>
      <c r="P86" s="173"/>
      <c r="Q86" s="174"/>
      <c r="R86" s="174"/>
      <c r="S86" s="175"/>
      <c r="T86" s="176"/>
      <c r="U86" s="173"/>
      <c r="V86" s="174"/>
      <c r="W86" s="174"/>
      <c r="X86" s="175"/>
      <c r="Y86" s="176"/>
      <c r="Z86" s="173"/>
      <c r="AA86" s="174"/>
      <c r="AB86" s="174"/>
      <c r="AC86" s="175"/>
      <c r="AD86" s="176"/>
      <c r="AE86" s="173"/>
      <c r="AF86" s="174"/>
      <c r="AG86" s="174"/>
      <c r="AH86" s="175"/>
      <c r="AI86" s="176"/>
      <c r="AJ86" s="173"/>
      <c r="AK86" s="174"/>
      <c r="AL86" s="174"/>
      <c r="AM86" s="175"/>
      <c r="AN86" s="176"/>
      <c r="AO86" s="173"/>
      <c r="AP86" s="174"/>
      <c r="AQ86" s="174"/>
      <c r="AR86" s="175"/>
      <c r="AS86" s="176"/>
      <c r="AT86" s="203"/>
      <c r="AU86" s="203"/>
      <c r="AV86" s="203"/>
      <c r="AW86" s="200"/>
      <c r="AX86" s="200"/>
      <c r="BR86" s="33"/>
    </row>
    <row r="89" spans="2:73" ht="26.25" customHeight="1" x14ac:dyDescent="0.4">
      <c r="E89" s="290" t="s">
        <v>154</v>
      </c>
      <c r="F89" s="238" t="s">
        <v>142</v>
      </c>
    </row>
    <row r="90" spans="2:73" s="251" customFormat="1" ht="18.75" x14ac:dyDescent="0.3">
      <c r="B90" s="250"/>
      <c r="D90" s="252"/>
      <c r="E90" s="290"/>
      <c r="F90" s="249" t="s">
        <v>153</v>
      </c>
      <c r="G90" s="253"/>
      <c r="H90" s="253"/>
      <c r="I90" s="253"/>
      <c r="J90" s="253"/>
      <c r="K90" s="253"/>
      <c r="L90" s="253"/>
      <c r="M90" s="253"/>
      <c r="N90" s="253"/>
      <c r="O90" s="253"/>
      <c r="P90" s="253"/>
      <c r="Q90" s="253"/>
      <c r="R90" s="253"/>
      <c r="S90" s="253"/>
      <c r="T90" s="253"/>
      <c r="U90" s="253"/>
      <c r="V90" s="253"/>
      <c r="W90" s="253"/>
    </row>
    <row r="91" spans="2:73" s="251" customFormat="1" ht="18.75" x14ac:dyDescent="0.3">
      <c r="B91" s="250"/>
      <c r="D91" s="252"/>
      <c r="E91" s="290"/>
      <c r="F91" s="249" t="s">
        <v>163</v>
      </c>
      <c r="G91" s="253"/>
      <c r="H91" s="253"/>
      <c r="I91" s="253"/>
      <c r="J91" s="253"/>
      <c r="K91" s="253"/>
      <c r="L91" s="253"/>
      <c r="M91" s="253"/>
      <c r="N91" s="253"/>
      <c r="O91" s="253"/>
      <c r="P91" s="253"/>
      <c r="Q91" s="253"/>
      <c r="R91" s="253"/>
      <c r="S91" s="253"/>
      <c r="T91" s="253"/>
      <c r="U91" s="253"/>
      <c r="V91" s="253"/>
      <c r="W91" s="253"/>
    </row>
    <row r="92" spans="2:73" s="251" customFormat="1" ht="18.75" x14ac:dyDescent="0.3">
      <c r="B92" s="250"/>
      <c r="D92" s="252"/>
      <c r="E92" s="262"/>
      <c r="F92" s="249"/>
      <c r="G92" s="253"/>
      <c r="H92" s="253"/>
      <c r="I92" s="253"/>
      <c r="J92" s="253"/>
      <c r="K92" s="253"/>
      <c r="L92" s="253"/>
      <c r="M92" s="253"/>
      <c r="N92" s="253"/>
      <c r="O92" s="253"/>
      <c r="P92" s="253"/>
      <c r="Q92" s="253"/>
      <c r="R92" s="253"/>
      <c r="S92" s="253"/>
      <c r="T92" s="253"/>
      <c r="U92" s="253"/>
      <c r="V92" s="253"/>
      <c r="W92" s="253"/>
    </row>
    <row r="93" spans="2:73" s="251" customFormat="1" ht="18.75" x14ac:dyDescent="0.3">
      <c r="B93" s="250"/>
      <c r="D93" s="252"/>
      <c r="E93" s="263"/>
      <c r="F93" s="249"/>
      <c r="G93" s="253"/>
      <c r="H93" s="253"/>
      <c r="I93" s="253"/>
      <c r="J93" s="253"/>
      <c r="K93" s="253"/>
      <c r="L93" s="253"/>
      <c r="M93" s="253"/>
      <c r="N93" s="253"/>
      <c r="O93" s="253"/>
      <c r="P93" s="253"/>
      <c r="Q93" s="253"/>
      <c r="R93" s="253"/>
      <c r="S93" s="253"/>
      <c r="T93" s="253"/>
      <c r="U93" s="253"/>
      <c r="V93" s="253"/>
      <c r="W93" s="253"/>
    </row>
    <row r="94" spans="2:73" ht="26.25" x14ac:dyDescent="0.4">
      <c r="E94" s="263"/>
      <c r="F94" s="238" t="s">
        <v>143</v>
      </c>
    </row>
    <row r="95" spans="2:73" ht="18.75" x14ac:dyDescent="0.3">
      <c r="B95" s="12"/>
      <c r="C95" s="4"/>
      <c r="D95" s="117"/>
      <c r="F95" s="184" t="s">
        <v>158</v>
      </c>
      <c r="BU95" s="80">
        <f>B147</f>
        <v>0</v>
      </c>
    </row>
    <row r="96" spans="2:73" ht="18.75" x14ac:dyDescent="0.3">
      <c r="B96" s="12"/>
      <c r="C96" s="4"/>
      <c r="D96" s="117"/>
      <c r="F96" s="184" t="s">
        <v>156</v>
      </c>
      <c r="BU96" s="80"/>
    </row>
    <row r="97" spans="2:70" ht="26.25" x14ac:dyDescent="0.4">
      <c r="F97" s="220"/>
      <c r="G97" s="218"/>
      <c r="H97" s="218">
        <v>3</v>
      </c>
      <c r="I97" s="36"/>
      <c r="J97" s="36"/>
      <c r="K97" s="218"/>
      <c r="L97" s="218"/>
      <c r="M97" s="218">
        <v>8</v>
      </c>
      <c r="N97" s="36"/>
      <c r="O97" s="36"/>
      <c r="P97" s="218"/>
      <c r="Q97" s="218"/>
      <c r="R97" s="218">
        <v>5</v>
      </c>
      <c r="S97" s="36"/>
      <c r="T97" s="36"/>
      <c r="U97" s="218"/>
      <c r="V97" s="218"/>
      <c r="W97" s="218">
        <v>6</v>
      </c>
      <c r="X97" s="36"/>
      <c r="Y97" s="36"/>
      <c r="Z97" s="218"/>
      <c r="AA97" s="218"/>
      <c r="AB97" s="218">
        <v>2</v>
      </c>
      <c r="AC97" s="36"/>
      <c r="AD97" s="36"/>
      <c r="AE97" s="218"/>
      <c r="AF97" s="218"/>
      <c r="AG97" s="218">
        <v>4</v>
      </c>
      <c r="AH97" s="36"/>
      <c r="AI97" s="36"/>
      <c r="AJ97" s="218"/>
      <c r="AK97" s="218"/>
      <c r="AL97" s="218">
        <v>10</v>
      </c>
      <c r="AM97" s="36"/>
      <c r="AN97" s="36"/>
      <c r="AO97" s="218"/>
      <c r="AP97" s="218"/>
      <c r="AQ97" s="218">
        <v>9</v>
      </c>
      <c r="AR97" s="36"/>
      <c r="AS97" s="36"/>
      <c r="AT97" s="218"/>
      <c r="AU97" s="218"/>
      <c r="AV97" s="218">
        <v>7</v>
      </c>
      <c r="AW97" s="36"/>
      <c r="AX97" s="36"/>
    </row>
    <row r="98" spans="2:70" s="68" customFormat="1" ht="27" thickBot="1" x14ac:dyDescent="0.45">
      <c r="B98" s="197"/>
      <c r="C98" s="198"/>
      <c r="D98" s="199"/>
      <c r="F98" s="284" t="s">
        <v>138</v>
      </c>
      <c r="G98" s="285"/>
      <c r="H98" s="285"/>
      <c r="I98" s="285"/>
      <c r="J98" s="286"/>
      <c r="K98" s="284" t="s">
        <v>115</v>
      </c>
      <c r="L98" s="285"/>
      <c r="M98" s="285"/>
      <c r="N98" s="285"/>
      <c r="O98" s="286"/>
      <c r="P98" s="284" t="s">
        <v>123</v>
      </c>
      <c r="Q98" s="285"/>
      <c r="R98" s="285"/>
      <c r="S98" s="285"/>
      <c r="T98" s="286"/>
      <c r="U98" s="284" t="s">
        <v>113</v>
      </c>
      <c r="V98" s="285"/>
      <c r="W98" s="285"/>
      <c r="X98" s="285"/>
      <c r="Y98" s="286"/>
      <c r="Z98" s="284" t="s">
        <v>109</v>
      </c>
      <c r="AA98" s="285"/>
      <c r="AB98" s="285"/>
      <c r="AC98" s="285"/>
      <c r="AD98" s="286"/>
      <c r="AE98" s="284" t="s">
        <v>111</v>
      </c>
      <c r="AF98" s="285"/>
      <c r="AG98" s="285"/>
      <c r="AH98" s="285"/>
      <c r="AI98" s="286"/>
      <c r="AJ98" s="285" t="s">
        <v>117</v>
      </c>
      <c r="AK98" s="285"/>
      <c r="AL98" s="285"/>
      <c r="AM98" s="285"/>
      <c r="AN98" s="285"/>
      <c r="AO98" s="284" t="s">
        <v>116</v>
      </c>
      <c r="AP98" s="285"/>
      <c r="AQ98" s="285"/>
      <c r="AR98" s="285"/>
      <c r="AS98" s="286"/>
      <c r="AT98" s="284" t="s">
        <v>114</v>
      </c>
      <c r="AU98" s="285"/>
      <c r="AV98" s="285"/>
      <c r="AW98" s="285"/>
      <c r="AX98" s="286"/>
      <c r="AY98" s="200"/>
      <c r="AZ98" s="200"/>
      <c r="BA98" s="200"/>
      <c r="BB98" s="200"/>
      <c r="BC98" s="200"/>
      <c r="BD98" s="200"/>
      <c r="BE98" s="200"/>
      <c r="BF98" s="200"/>
      <c r="BG98" s="200"/>
      <c r="BH98" s="200"/>
      <c r="BI98" s="200"/>
      <c r="BJ98" s="200"/>
      <c r="BK98" s="200"/>
      <c r="BL98" s="200"/>
      <c r="BM98" s="200"/>
      <c r="BN98" s="200"/>
      <c r="BO98" s="200"/>
      <c r="BP98" s="200"/>
      <c r="BQ98" s="200"/>
      <c r="BR98" s="200"/>
    </row>
    <row r="99" spans="2:70" ht="46.5" thickTop="1" thickBot="1" x14ac:dyDescent="0.3">
      <c r="B99" s="13" t="s">
        <v>1</v>
      </c>
      <c r="C99" t="s">
        <v>2</v>
      </c>
      <c r="D99" s="152" t="s">
        <v>70</v>
      </c>
      <c r="E99"/>
      <c r="F99" s="208" t="s">
        <v>127</v>
      </c>
      <c r="G99" s="210" t="s">
        <v>145</v>
      </c>
      <c r="H99" s="210" t="s">
        <v>146</v>
      </c>
      <c r="I99" s="162" t="s">
        <v>128</v>
      </c>
      <c r="J99" s="172" t="s">
        <v>129</v>
      </c>
      <c r="K99" s="208" t="s">
        <v>127</v>
      </c>
      <c r="L99" s="210" t="s">
        <v>145</v>
      </c>
      <c r="M99" s="210" t="s">
        <v>146</v>
      </c>
      <c r="N99" s="162" t="s">
        <v>128</v>
      </c>
      <c r="O99" s="172" t="s">
        <v>129</v>
      </c>
      <c r="P99" s="208" t="s">
        <v>127</v>
      </c>
      <c r="Q99" s="210" t="s">
        <v>145</v>
      </c>
      <c r="R99" s="210" t="s">
        <v>146</v>
      </c>
      <c r="S99" s="162" t="s">
        <v>128</v>
      </c>
      <c r="T99" s="172" t="s">
        <v>129</v>
      </c>
      <c r="U99" s="208" t="s">
        <v>127</v>
      </c>
      <c r="V99" s="210" t="s">
        <v>145</v>
      </c>
      <c r="W99" s="210" t="s">
        <v>146</v>
      </c>
      <c r="X99" s="162" t="s">
        <v>128</v>
      </c>
      <c r="Y99" s="172" t="s">
        <v>129</v>
      </c>
      <c r="Z99" s="208" t="s">
        <v>127</v>
      </c>
      <c r="AA99" s="210" t="s">
        <v>145</v>
      </c>
      <c r="AB99" s="210" t="s">
        <v>146</v>
      </c>
      <c r="AC99" s="162" t="s">
        <v>128</v>
      </c>
      <c r="AD99" s="172" t="s">
        <v>129</v>
      </c>
      <c r="AE99" s="208" t="s">
        <v>127</v>
      </c>
      <c r="AF99" s="210" t="s">
        <v>145</v>
      </c>
      <c r="AG99" s="210" t="s">
        <v>146</v>
      </c>
      <c r="AH99" s="162" t="s">
        <v>128</v>
      </c>
      <c r="AI99" s="172" t="s">
        <v>129</v>
      </c>
      <c r="AJ99" s="208" t="s">
        <v>127</v>
      </c>
      <c r="AK99" s="210" t="s">
        <v>145</v>
      </c>
      <c r="AL99" s="210" t="s">
        <v>146</v>
      </c>
      <c r="AM99" s="162" t="s">
        <v>128</v>
      </c>
      <c r="AN99" s="172" t="s">
        <v>129</v>
      </c>
      <c r="AO99" s="208" t="s">
        <v>127</v>
      </c>
      <c r="AP99" s="210" t="s">
        <v>145</v>
      </c>
      <c r="AQ99" s="210" t="s">
        <v>146</v>
      </c>
      <c r="AR99" s="162" t="s">
        <v>128</v>
      </c>
      <c r="AS99" s="172" t="s">
        <v>129</v>
      </c>
      <c r="AT99" s="209" t="s">
        <v>127</v>
      </c>
      <c r="AU99" s="210" t="s">
        <v>145</v>
      </c>
      <c r="AV99" s="210" t="s">
        <v>146</v>
      </c>
      <c r="AW99" s="162" t="s">
        <v>128</v>
      </c>
      <c r="AX99" s="162" t="s">
        <v>129</v>
      </c>
      <c r="BR99" s="33"/>
    </row>
    <row r="100" spans="2:70" ht="16.5" thickTop="1" thickBot="1" x14ac:dyDescent="0.3">
      <c r="B100" s="222">
        <v>1</v>
      </c>
      <c r="C100" s="223" t="s">
        <v>108</v>
      </c>
      <c r="D100" s="224">
        <f>SUM(D101:D103)</f>
        <v>1.2787808336631052</v>
      </c>
      <c r="E100"/>
      <c r="F100" s="173">
        <v>4</v>
      </c>
      <c r="G100" s="202">
        <v>2</v>
      </c>
      <c r="H100" s="174">
        <v>1</v>
      </c>
      <c r="I100" s="175">
        <v>61.050000000000004</v>
      </c>
      <c r="J100" s="194">
        <v>0.75497130985358141</v>
      </c>
      <c r="K100" s="173">
        <v>1</v>
      </c>
      <c r="L100" s="278">
        <v>1</v>
      </c>
      <c r="M100" s="174">
        <v>2</v>
      </c>
      <c r="N100" s="175">
        <v>33</v>
      </c>
      <c r="O100" s="179">
        <v>0.52380952380952384</v>
      </c>
      <c r="P100" s="173">
        <v>4</v>
      </c>
      <c r="Q100" s="202">
        <f>G100-1</f>
        <v>1</v>
      </c>
      <c r="R100" s="174">
        <v>2</v>
      </c>
      <c r="S100" s="175">
        <v>61.050000000000004</v>
      </c>
      <c r="T100" s="179">
        <v>0.24666666666666667</v>
      </c>
      <c r="U100" s="173">
        <v>5</v>
      </c>
      <c r="V100" s="174">
        <v>2</v>
      </c>
      <c r="W100" s="174">
        <v>2</v>
      </c>
      <c r="X100" s="175">
        <v>106.92</v>
      </c>
      <c r="Y100" s="181">
        <v>4.6712139498560996E-3</v>
      </c>
      <c r="Z100" s="173">
        <v>2</v>
      </c>
      <c r="AA100" s="174">
        <v>1</v>
      </c>
      <c r="AB100" s="174">
        <v>1</v>
      </c>
      <c r="AC100" s="175">
        <v>0.22710755813953487</v>
      </c>
      <c r="AD100" s="181">
        <v>2.1567669338987167E-3</v>
      </c>
      <c r="AE100" s="173">
        <v>3</v>
      </c>
      <c r="AF100" s="174">
        <v>5</v>
      </c>
      <c r="AG100" s="174">
        <v>2</v>
      </c>
      <c r="AH100" s="175">
        <v>7.9156829940340145</v>
      </c>
      <c r="AI100" s="205">
        <v>1.8440729164901607E-8</v>
      </c>
      <c r="AJ100" s="203">
        <v>6</v>
      </c>
      <c r="AK100" s="203">
        <v>3</v>
      </c>
      <c r="AL100" s="203">
        <v>5</v>
      </c>
      <c r="AM100" s="200">
        <v>6.9120000000000008</v>
      </c>
      <c r="AN100" s="204">
        <v>1.4920669185105235E-8</v>
      </c>
      <c r="AO100" s="173">
        <v>1</v>
      </c>
      <c r="AP100" s="278">
        <v>0</v>
      </c>
      <c r="AQ100" s="174">
        <v>3</v>
      </c>
      <c r="AR100" s="175">
        <v>33</v>
      </c>
      <c r="AS100" s="181">
        <v>0</v>
      </c>
      <c r="AT100" s="173">
        <v>1</v>
      </c>
      <c r="AU100" s="278">
        <v>0</v>
      </c>
      <c r="AV100" s="174">
        <v>1</v>
      </c>
      <c r="AW100" s="175">
        <v>33</v>
      </c>
      <c r="AX100" s="179">
        <v>0</v>
      </c>
      <c r="BR100" s="33"/>
    </row>
    <row r="101" spans="2:70" ht="15.75" thickTop="1" x14ac:dyDescent="0.25">
      <c r="B101" s="60"/>
      <c r="C101" s="43"/>
      <c r="D101" s="51">
        <f>J100</f>
        <v>0.75497130985358141</v>
      </c>
      <c r="E101"/>
      <c r="F101" s="173">
        <v>5</v>
      </c>
      <c r="G101" s="174">
        <v>2</v>
      </c>
      <c r="H101" s="174">
        <v>1</v>
      </c>
      <c r="I101" s="175">
        <v>106.92</v>
      </c>
      <c r="J101" s="176">
        <v>3.0877531830542072E-2</v>
      </c>
      <c r="K101" s="173"/>
      <c r="L101" s="174"/>
      <c r="M101" s="174"/>
      <c r="N101" s="175"/>
      <c r="O101" s="176"/>
      <c r="P101" s="173">
        <v>6</v>
      </c>
      <c r="Q101" s="174">
        <v>3</v>
      </c>
      <c r="R101" s="174">
        <v>3</v>
      </c>
      <c r="S101" s="175">
        <v>6.9120000000000008</v>
      </c>
      <c r="T101" s="176">
        <v>1.626352941176471E-8</v>
      </c>
      <c r="U101" s="173">
        <v>6</v>
      </c>
      <c r="V101" s="174">
        <v>3</v>
      </c>
      <c r="W101" s="174">
        <v>4</v>
      </c>
      <c r="X101" s="175">
        <v>6.9120000000000008</v>
      </c>
      <c r="Y101" s="176">
        <v>1.6102504368083868E-8</v>
      </c>
      <c r="Z101" s="173"/>
      <c r="AA101" s="174"/>
      <c r="AB101" s="174"/>
      <c r="AC101" s="175"/>
      <c r="AD101" s="176"/>
      <c r="AE101" s="173">
        <v>6</v>
      </c>
      <c r="AF101" s="174">
        <v>3</v>
      </c>
      <c r="AG101" s="174">
        <v>2</v>
      </c>
      <c r="AH101" s="175">
        <v>6.9120000000000008</v>
      </c>
      <c r="AI101" s="176">
        <v>1.6102504368083868E-8</v>
      </c>
      <c r="AJ101" s="203">
        <v>4</v>
      </c>
      <c r="AK101" s="203">
        <v>0</v>
      </c>
      <c r="AL101" s="203">
        <v>3</v>
      </c>
      <c r="AM101" s="200">
        <v>61.050000000000004</v>
      </c>
      <c r="AN101" s="200">
        <f>IF(AK101&gt;0,0.226299694189602,0)</f>
        <v>0</v>
      </c>
      <c r="AO101" s="173"/>
      <c r="AP101" s="174"/>
      <c r="AQ101" s="174"/>
      <c r="AR101" s="175"/>
      <c r="AS101" s="176"/>
      <c r="AT101" s="173"/>
      <c r="AU101" s="174"/>
      <c r="AV101" s="174"/>
      <c r="AW101" s="175"/>
      <c r="AX101" s="176"/>
      <c r="BR101" s="33"/>
    </row>
    <row r="102" spans="2:70" x14ac:dyDescent="0.25">
      <c r="B102" s="60"/>
      <c r="C102" s="43"/>
      <c r="D102" s="51">
        <f>O100</f>
        <v>0.52380952380952384</v>
      </c>
      <c r="F102" s="173">
        <v>3</v>
      </c>
      <c r="G102" s="174">
        <v>5</v>
      </c>
      <c r="H102" s="174">
        <v>1</v>
      </c>
      <c r="I102" s="175">
        <v>7.992</v>
      </c>
      <c r="J102" s="176">
        <v>2.7673130193905823E-7</v>
      </c>
      <c r="K102" s="173"/>
      <c r="L102" s="202"/>
      <c r="M102" s="174"/>
      <c r="N102" s="175"/>
      <c r="O102" s="176"/>
      <c r="P102" s="173"/>
      <c r="Q102" s="174"/>
      <c r="R102" s="174"/>
      <c r="S102" s="175"/>
      <c r="T102" s="176"/>
      <c r="U102" s="173"/>
      <c r="V102" s="174"/>
      <c r="W102" s="174"/>
      <c r="X102" s="175"/>
      <c r="Y102" s="176"/>
      <c r="Z102" s="173"/>
      <c r="AA102" s="174"/>
      <c r="AB102" s="174"/>
      <c r="AC102" s="175"/>
      <c r="AD102" s="176"/>
      <c r="AE102" s="173"/>
      <c r="AF102" s="174"/>
      <c r="AG102" s="174"/>
      <c r="AH102" s="175"/>
      <c r="AI102" s="176"/>
      <c r="AJ102" s="203"/>
      <c r="AK102" s="203"/>
      <c r="AL102" s="203"/>
      <c r="AM102" s="200"/>
      <c r="AN102" s="200"/>
      <c r="AO102" s="173"/>
      <c r="AP102" s="174"/>
      <c r="AQ102" s="174"/>
      <c r="AR102" s="175"/>
      <c r="AS102" s="176"/>
      <c r="AT102" s="173"/>
      <c r="AU102" s="174"/>
      <c r="AV102" s="174"/>
      <c r="AW102" s="175"/>
      <c r="AX102" s="176"/>
      <c r="BR102" s="33"/>
    </row>
    <row r="103" spans="2:70" x14ac:dyDescent="0.25">
      <c r="B103" s="60"/>
      <c r="C103" s="43"/>
      <c r="D103" s="51"/>
      <c r="F103" s="173">
        <v>6</v>
      </c>
      <c r="G103" s="174">
        <v>3</v>
      </c>
      <c r="H103" s="174">
        <v>1</v>
      </c>
      <c r="I103" s="175">
        <v>6.9120000000000008</v>
      </c>
      <c r="J103" s="176">
        <v>2.3933518005540168E-7</v>
      </c>
      <c r="K103" s="173"/>
      <c r="L103" s="174"/>
      <c r="M103" s="174"/>
      <c r="N103" s="175"/>
      <c r="O103" s="176"/>
      <c r="P103" s="173"/>
      <c r="Q103" s="174"/>
      <c r="R103" s="174"/>
      <c r="S103" s="175"/>
      <c r="T103" s="176"/>
      <c r="U103" s="173"/>
      <c r="V103" s="174"/>
      <c r="W103" s="174"/>
      <c r="X103" s="175"/>
      <c r="Y103" s="176"/>
      <c r="Z103" s="173"/>
      <c r="AA103" s="174"/>
      <c r="AB103" s="174"/>
      <c r="AC103" s="175"/>
      <c r="AD103" s="176"/>
      <c r="AE103" s="173"/>
      <c r="AF103" s="174"/>
      <c r="AG103" s="174"/>
      <c r="AH103" s="175"/>
      <c r="AI103" s="176"/>
      <c r="AJ103" s="203"/>
      <c r="AK103" s="203"/>
      <c r="AL103" s="203"/>
      <c r="AM103" s="200"/>
      <c r="AN103" s="200"/>
      <c r="AO103" s="173"/>
      <c r="AP103" s="174"/>
      <c r="AQ103" s="174"/>
      <c r="AR103" s="175"/>
      <c r="AS103" s="176"/>
      <c r="AT103" s="173"/>
      <c r="AU103" s="174"/>
      <c r="AV103" s="174"/>
      <c r="AW103" s="175"/>
      <c r="AX103" s="176"/>
      <c r="BR103" s="33"/>
    </row>
    <row r="105" spans="2:70" s="242" customFormat="1" ht="15.75" x14ac:dyDescent="0.25">
      <c r="B105" s="241"/>
      <c r="D105" s="243"/>
      <c r="E105" s="244"/>
      <c r="F105" s="264" t="s">
        <v>164</v>
      </c>
      <c r="G105" s="245"/>
      <c r="H105" s="245"/>
      <c r="I105" s="246"/>
      <c r="J105" s="246"/>
      <c r="K105" s="245"/>
      <c r="L105" s="245"/>
      <c r="M105" s="245"/>
      <c r="N105" s="246"/>
      <c r="O105" s="246"/>
      <c r="P105" s="245"/>
      <c r="Q105" s="245"/>
      <c r="R105" s="245"/>
      <c r="S105" s="246"/>
      <c r="T105" s="246"/>
      <c r="U105" s="245"/>
      <c r="V105" s="245"/>
      <c r="W105" s="245"/>
      <c r="X105" s="246"/>
      <c r="Y105" s="246"/>
      <c r="Z105" s="247"/>
      <c r="AA105" s="247"/>
      <c r="AB105" s="247"/>
      <c r="AC105" s="244"/>
      <c r="AD105" s="244"/>
      <c r="AE105" s="247"/>
      <c r="AF105" s="247"/>
      <c r="AG105" s="247"/>
      <c r="AH105" s="244"/>
      <c r="AI105" s="244"/>
      <c r="AJ105" s="247"/>
      <c r="AK105" s="247"/>
      <c r="AL105" s="247"/>
      <c r="AM105" s="244"/>
      <c r="AN105" s="244"/>
      <c r="AO105" s="247"/>
      <c r="AP105" s="247"/>
      <c r="AQ105" s="247"/>
      <c r="AR105" s="244"/>
      <c r="AS105" s="244"/>
      <c r="AT105" s="247"/>
      <c r="AU105" s="247"/>
      <c r="AV105" s="247"/>
      <c r="AW105" s="244"/>
      <c r="AX105" s="244"/>
      <c r="AY105" s="244"/>
      <c r="AZ105" s="244"/>
      <c r="BA105" s="244"/>
      <c r="BB105" s="244"/>
      <c r="BC105" s="244"/>
      <c r="BD105" s="244"/>
      <c r="BE105" s="244"/>
      <c r="BF105" s="244"/>
      <c r="BG105" s="244"/>
      <c r="BH105" s="244"/>
      <c r="BI105" s="244"/>
      <c r="BJ105" s="244"/>
      <c r="BK105" s="244"/>
      <c r="BL105" s="244"/>
      <c r="BM105" s="244"/>
      <c r="BN105" s="244"/>
      <c r="BO105" s="244"/>
      <c r="BP105" s="244"/>
      <c r="BQ105" s="244"/>
    </row>
    <row r="106" spans="2:70" s="242" customFormat="1" ht="15.75" x14ac:dyDescent="0.25">
      <c r="B106" s="241"/>
      <c r="D106" s="243"/>
      <c r="E106" s="244"/>
      <c r="F106" s="264" t="s">
        <v>165</v>
      </c>
      <c r="G106" s="245"/>
      <c r="H106" s="245"/>
      <c r="I106" s="246"/>
      <c r="J106" s="246"/>
      <c r="K106" s="245"/>
      <c r="L106" s="245"/>
      <c r="M106" s="245"/>
      <c r="N106" s="246"/>
      <c r="O106" s="246"/>
      <c r="P106" s="245"/>
      <c r="Q106" s="245"/>
      <c r="R106" s="245"/>
      <c r="S106" s="246"/>
      <c r="T106" s="246"/>
      <c r="U106" s="245"/>
      <c r="V106" s="245"/>
      <c r="W106" s="245"/>
      <c r="X106" s="246"/>
      <c r="Y106" s="246"/>
      <c r="Z106" s="247"/>
      <c r="AA106" s="247"/>
      <c r="AB106" s="247"/>
      <c r="AC106" s="244"/>
      <c r="AD106" s="244"/>
      <c r="AE106" s="247"/>
      <c r="AF106" s="247"/>
      <c r="AG106" s="247"/>
      <c r="AH106" s="244"/>
      <c r="AI106" s="244"/>
      <c r="AJ106" s="247"/>
      <c r="AK106" s="247"/>
      <c r="AL106" s="247"/>
      <c r="AM106" s="244"/>
      <c r="AN106" s="244"/>
      <c r="AO106" s="247"/>
      <c r="AP106" s="247"/>
      <c r="AQ106" s="247"/>
      <c r="AR106" s="244"/>
      <c r="AS106" s="244"/>
      <c r="AT106" s="247"/>
      <c r="AU106" s="247"/>
      <c r="AV106" s="247"/>
      <c r="AW106" s="244"/>
      <c r="AX106" s="244"/>
      <c r="AY106" s="244"/>
      <c r="AZ106" s="244"/>
      <c r="BA106" s="244"/>
      <c r="BB106" s="244"/>
      <c r="BC106" s="244"/>
      <c r="BD106" s="244"/>
      <c r="BE106" s="244"/>
      <c r="BF106" s="244"/>
      <c r="BG106" s="244"/>
      <c r="BH106" s="244"/>
      <c r="BI106" s="244"/>
      <c r="BJ106" s="244"/>
      <c r="BK106" s="244"/>
      <c r="BL106" s="244"/>
      <c r="BM106" s="244"/>
      <c r="BN106" s="244"/>
      <c r="BO106" s="244"/>
      <c r="BP106" s="244"/>
      <c r="BQ106" s="244"/>
    </row>
    <row r="107" spans="2:70" s="242" customFormat="1" ht="15.75" x14ac:dyDescent="0.25">
      <c r="B107" s="241"/>
      <c r="D107" s="243"/>
      <c r="E107" s="244"/>
      <c r="F107" s="264"/>
      <c r="G107" s="245"/>
      <c r="H107" s="245"/>
      <c r="I107" s="246"/>
      <c r="J107" s="246"/>
      <c r="K107" s="245"/>
      <c r="L107" s="245"/>
      <c r="M107" s="245"/>
      <c r="N107" s="246"/>
      <c r="O107" s="246"/>
      <c r="P107" s="245"/>
      <c r="Q107" s="245"/>
      <c r="R107" s="245"/>
      <c r="S107" s="246"/>
      <c r="T107" s="246"/>
      <c r="U107" s="245"/>
      <c r="V107" s="245"/>
      <c r="W107" s="245"/>
      <c r="X107" s="246"/>
      <c r="Y107" s="246"/>
      <c r="Z107" s="247"/>
      <c r="AA107" s="247"/>
      <c r="AB107" s="247"/>
      <c r="AC107" s="244"/>
      <c r="AD107" s="244"/>
      <c r="AE107" s="247"/>
      <c r="AF107" s="247"/>
      <c r="AG107" s="247"/>
      <c r="AH107" s="244"/>
      <c r="AI107" s="244"/>
      <c r="AJ107" s="247"/>
      <c r="AK107" s="247"/>
      <c r="AL107" s="247"/>
      <c r="AM107" s="244"/>
      <c r="AN107" s="244"/>
      <c r="AO107" s="247"/>
      <c r="AP107" s="247"/>
      <c r="AQ107" s="247"/>
      <c r="AR107" s="244"/>
      <c r="AS107" s="244"/>
      <c r="AT107" s="247"/>
      <c r="AU107" s="247"/>
      <c r="AV107" s="247"/>
      <c r="AW107" s="244"/>
      <c r="AX107" s="244"/>
      <c r="AY107" s="244"/>
      <c r="AZ107" s="244"/>
      <c r="BA107" s="244"/>
      <c r="BB107" s="244"/>
      <c r="BC107" s="244"/>
      <c r="BD107" s="244"/>
      <c r="BE107" s="244"/>
      <c r="BF107" s="244"/>
      <c r="BG107" s="244"/>
      <c r="BH107" s="244"/>
      <c r="BI107" s="244"/>
      <c r="BJ107" s="244"/>
      <c r="BK107" s="244"/>
      <c r="BL107" s="244"/>
      <c r="BM107" s="244"/>
      <c r="BN107" s="244"/>
      <c r="BO107" s="244"/>
      <c r="BP107" s="244"/>
      <c r="BQ107" s="244"/>
    </row>
    <row r="108" spans="2:70" s="242" customFormat="1" ht="15.75" x14ac:dyDescent="0.25">
      <c r="B108" s="241"/>
      <c r="D108" s="243"/>
      <c r="E108" s="244"/>
      <c r="F108" s="264"/>
      <c r="G108" s="245"/>
      <c r="H108" s="245"/>
      <c r="I108" s="246"/>
      <c r="J108" s="246"/>
      <c r="K108" s="245"/>
      <c r="L108" s="245"/>
      <c r="M108" s="245"/>
      <c r="N108" s="246"/>
      <c r="O108" s="246"/>
      <c r="P108" s="245"/>
      <c r="Q108" s="245"/>
      <c r="R108" s="245"/>
      <c r="S108" s="246"/>
      <c r="T108" s="246"/>
      <c r="U108" s="245"/>
      <c r="V108" s="245"/>
      <c r="W108" s="245"/>
      <c r="X108" s="246"/>
      <c r="Y108" s="246"/>
      <c r="Z108" s="247"/>
      <c r="AA108" s="247"/>
      <c r="AB108" s="247"/>
      <c r="AC108" s="244"/>
      <c r="AD108" s="244"/>
      <c r="AE108" s="247"/>
      <c r="AF108" s="247"/>
      <c r="AG108" s="247"/>
      <c r="AH108" s="244"/>
      <c r="AI108" s="244"/>
      <c r="AJ108" s="247"/>
      <c r="AK108" s="247"/>
      <c r="AL108" s="247"/>
      <c r="AM108" s="244"/>
      <c r="AN108" s="244"/>
      <c r="AO108" s="247"/>
      <c r="AP108" s="247"/>
      <c r="AQ108" s="247"/>
      <c r="AR108" s="244"/>
      <c r="AS108" s="244"/>
      <c r="AT108" s="247"/>
      <c r="AU108" s="247"/>
      <c r="AV108" s="247"/>
      <c r="AW108" s="244"/>
      <c r="AX108" s="244"/>
      <c r="AY108" s="244"/>
      <c r="AZ108" s="244"/>
      <c r="BA108" s="244"/>
      <c r="BB108" s="244"/>
      <c r="BC108" s="244"/>
      <c r="BD108" s="244"/>
      <c r="BE108" s="244"/>
      <c r="BF108" s="244"/>
      <c r="BG108" s="244"/>
      <c r="BH108" s="244"/>
      <c r="BI108" s="244"/>
      <c r="BJ108" s="244"/>
      <c r="BK108" s="244"/>
      <c r="BL108" s="244"/>
      <c r="BM108" s="244"/>
      <c r="BN108" s="244"/>
      <c r="BO108" s="244"/>
      <c r="BP108" s="244"/>
      <c r="BQ108" s="244"/>
    </row>
    <row r="109" spans="2:70" s="268" customFormat="1" ht="21" x14ac:dyDescent="0.35">
      <c r="B109" s="267"/>
      <c r="D109" s="269"/>
      <c r="E109" s="270"/>
      <c r="F109" s="271" t="s">
        <v>166</v>
      </c>
      <c r="G109" s="272"/>
      <c r="H109" s="272"/>
      <c r="I109" s="270"/>
      <c r="J109" s="270"/>
      <c r="K109" s="272"/>
      <c r="L109" s="272"/>
      <c r="M109" s="272"/>
      <c r="N109" s="270"/>
      <c r="O109" s="270"/>
      <c r="P109" s="272"/>
      <c r="Q109" s="272"/>
      <c r="R109" s="272"/>
      <c r="S109" s="270"/>
      <c r="T109" s="270"/>
      <c r="U109" s="272"/>
      <c r="V109" s="272"/>
      <c r="W109" s="272"/>
      <c r="X109" s="270"/>
      <c r="Y109" s="270"/>
      <c r="Z109" s="272"/>
      <c r="AA109" s="272"/>
      <c r="AB109" s="272"/>
      <c r="AC109" s="270"/>
      <c r="AD109" s="270"/>
      <c r="AE109" s="272"/>
      <c r="AF109" s="272"/>
      <c r="AG109" s="272"/>
      <c r="AH109" s="270"/>
      <c r="AI109" s="270"/>
      <c r="AJ109" s="272"/>
      <c r="AK109" s="272"/>
      <c r="AL109" s="272"/>
      <c r="AM109" s="270"/>
      <c r="AN109" s="270"/>
      <c r="AO109" s="272"/>
      <c r="AP109" s="272"/>
      <c r="AQ109" s="272"/>
      <c r="AR109" s="270"/>
      <c r="AS109" s="270"/>
      <c r="AT109" s="272"/>
      <c r="AU109" s="272"/>
      <c r="AV109" s="272"/>
      <c r="AW109" s="270"/>
      <c r="AX109" s="270"/>
      <c r="AY109" s="270"/>
      <c r="AZ109" s="270"/>
      <c r="BA109" s="270"/>
      <c r="BB109" s="270"/>
      <c r="BC109" s="270"/>
      <c r="BD109" s="270"/>
      <c r="BE109" s="270"/>
      <c r="BF109" s="270"/>
      <c r="BG109" s="270"/>
      <c r="BH109" s="270"/>
      <c r="BI109" s="270"/>
      <c r="BJ109" s="270"/>
      <c r="BK109" s="270"/>
      <c r="BL109" s="270"/>
      <c r="BM109" s="270"/>
      <c r="BN109" s="270"/>
      <c r="BO109" s="270"/>
      <c r="BP109" s="270"/>
      <c r="BQ109" s="270"/>
    </row>
    <row r="110" spans="2:70" s="268" customFormat="1" ht="21" x14ac:dyDescent="0.35">
      <c r="B110" s="267"/>
      <c r="D110" s="269"/>
      <c r="E110" s="270"/>
      <c r="F110" s="271"/>
      <c r="G110" s="272"/>
      <c r="H110" s="272"/>
      <c r="I110" s="270"/>
      <c r="J110" s="270"/>
      <c r="K110" s="272"/>
      <c r="L110" s="272"/>
      <c r="M110" s="272"/>
      <c r="N110" s="270"/>
      <c r="O110" s="270"/>
      <c r="P110" s="272"/>
      <c r="Q110" s="272"/>
      <c r="R110" s="272"/>
      <c r="S110" s="270"/>
      <c r="T110" s="270"/>
      <c r="U110" s="272"/>
      <c r="V110" s="272"/>
      <c r="W110" s="272"/>
      <c r="X110" s="270"/>
      <c r="Y110" s="270"/>
      <c r="Z110" s="272"/>
      <c r="AA110" s="272"/>
      <c r="AB110" s="272"/>
      <c r="AC110" s="270"/>
      <c r="AD110" s="270"/>
      <c r="AE110" s="272"/>
      <c r="AF110" s="272"/>
      <c r="AG110" s="272"/>
      <c r="AH110" s="270"/>
      <c r="AI110" s="270"/>
      <c r="AJ110" s="272"/>
      <c r="AK110" s="272"/>
      <c r="AL110" s="272"/>
      <c r="AM110" s="270"/>
      <c r="AN110" s="270"/>
      <c r="AO110" s="272"/>
      <c r="AP110" s="272"/>
      <c r="AQ110" s="272"/>
      <c r="AR110" s="270"/>
      <c r="AS110" s="270"/>
      <c r="AT110" s="272"/>
      <c r="AU110" s="272"/>
      <c r="AV110" s="272"/>
      <c r="AW110" s="270"/>
      <c r="AX110" s="270"/>
      <c r="AY110" s="270"/>
      <c r="AZ110" s="270"/>
      <c r="BA110" s="270"/>
      <c r="BB110" s="270"/>
      <c r="BC110" s="270"/>
      <c r="BD110" s="270"/>
      <c r="BE110" s="270"/>
      <c r="BF110" s="270"/>
      <c r="BG110" s="270"/>
      <c r="BH110" s="270"/>
      <c r="BI110" s="270"/>
      <c r="BJ110" s="270"/>
      <c r="BK110" s="270"/>
      <c r="BL110" s="270"/>
      <c r="BM110" s="270"/>
      <c r="BN110" s="270"/>
      <c r="BO110" s="270"/>
      <c r="BP110" s="270"/>
      <c r="BQ110" s="270"/>
    </row>
    <row r="111" spans="2:70" s="268" customFormat="1" ht="21" x14ac:dyDescent="0.35">
      <c r="B111" s="267"/>
      <c r="D111" s="269"/>
      <c r="E111" s="270"/>
      <c r="F111" s="271"/>
      <c r="G111" s="272"/>
      <c r="H111" s="272"/>
      <c r="I111" s="270"/>
      <c r="J111" s="270"/>
      <c r="K111" s="272"/>
      <c r="L111" s="272"/>
      <c r="M111" s="272"/>
      <c r="N111" s="270"/>
      <c r="O111" s="270"/>
      <c r="P111" s="272"/>
      <c r="Q111" s="272"/>
      <c r="R111" s="272"/>
      <c r="S111" s="270"/>
      <c r="T111" s="270"/>
      <c r="U111" s="272"/>
      <c r="V111" s="272"/>
      <c r="W111" s="272"/>
      <c r="X111" s="270"/>
      <c r="Y111" s="270"/>
      <c r="Z111" s="272"/>
      <c r="AA111" s="272"/>
      <c r="AB111" s="272"/>
      <c r="AC111" s="270"/>
      <c r="AD111" s="270"/>
      <c r="AE111" s="272"/>
      <c r="AF111" s="272"/>
      <c r="AG111" s="272"/>
      <c r="AH111" s="270"/>
      <c r="AI111" s="270"/>
      <c r="AJ111" s="272"/>
      <c r="AK111" s="272"/>
      <c r="AL111" s="272"/>
      <c r="AM111" s="270"/>
      <c r="AN111" s="270"/>
      <c r="AO111" s="272"/>
      <c r="AP111" s="272"/>
      <c r="AQ111" s="272"/>
      <c r="AR111" s="270"/>
      <c r="AS111" s="270"/>
      <c r="AT111" s="272"/>
      <c r="AU111" s="272"/>
      <c r="AV111" s="272"/>
      <c r="AW111" s="270"/>
      <c r="AX111" s="270"/>
      <c r="AY111" s="270"/>
      <c r="AZ111" s="270"/>
      <c r="BA111" s="270"/>
      <c r="BB111" s="270"/>
      <c r="BC111" s="270"/>
      <c r="BD111" s="270"/>
      <c r="BE111" s="270"/>
      <c r="BF111" s="270"/>
      <c r="BG111" s="270"/>
      <c r="BH111" s="270"/>
      <c r="BI111" s="270"/>
      <c r="BJ111" s="270"/>
      <c r="BK111" s="270"/>
      <c r="BL111" s="270"/>
      <c r="BM111" s="270"/>
      <c r="BN111" s="270"/>
      <c r="BO111" s="270"/>
      <c r="BP111" s="270"/>
      <c r="BQ111" s="270"/>
    </row>
    <row r="112" spans="2:70" s="242" customFormat="1" ht="15.75" x14ac:dyDescent="0.25">
      <c r="B112" s="241"/>
      <c r="D112" s="243"/>
      <c r="E112" s="244"/>
      <c r="F112" s="214" t="s">
        <v>151</v>
      </c>
      <c r="G112" s="246"/>
      <c r="H112" s="246"/>
      <c r="I112" s="246"/>
      <c r="J112" s="246"/>
      <c r="K112" s="246"/>
      <c r="L112" s="246"/>
      <c r="M112" s="246"/>
      <c r="N112" s="244"/>
      <c r="O112" s="244"/>
      <c r="P112" s="244"/>
      <c r="Q112" s="244"/>
      <c r="R112" s="244"/>
      <c r="S112" s="244"/>
      <c r="T112" s="244"/>
      <c r="U112" s="244"/>
      <c r="V112" s="244"/>
      <c r="W112" s="244"/>
    </row>
    <row r="113" spans="2:70" ht="69.75" customHeight="1" x14ac:dyDescent="0.25"/>
    <row r="114" spans="2:70" ht="26.25" x14ac:dyDescent="0.4">
      <c r="F114" s="220"/>
      <c r="G114" s="218"/>
      <c r="H114" s="218">
        <v>3</v>
      </c>
      <c r="I114" s="36"/>
      <c r="J114" s="36"/>
      <c r="K114" s="218"/>
      <c r="L114" s="218"/>
      <c r="M114" s="218">
        <v>8</v>
      </c>
      <c r="N114" s="36"/>
      <c r="O114" s="36"/>
      <c r="P114" s="218"/>
      <c r="Q114" s="218"/>
      <c r="R114" s="218">
        <v>5</v>
      </c>
      <c r="S114" s="36"/>
      <c r="T114" s="36"/>
      <c r="U114" s="218"/>
      <c r="V114" s="218"/>
      <c r="W114" s="218">
        <v>6</v>
      </c>
      <c r="X114" s="36"/>
      <c r="Y114" s="36"/>
      <c r="Z114" s="218"/>
      <c r="AA114" s="218"/>
      <c r="AB114" s="218">
        <v>2</v>
      </c>
      <c r="AC114" s="36"/>
      <c r="AD114" s="36"/>
      <c r="AE114" s="218"/>
      <c r="AF114" s="218"/>
      <c r="AG114" s="218">
        <v>4</v>
      </c>
      <c r="AH114" s="36"/>
      <c r="AI114" s="36"/>
      <c r="AJ114" s="218"/>
      <c r="AK114" s="218"/>
      <c r="AL114" s="218">
        <v>10</v>
      </c>
      <c r="AM114" s="36"/>
      <c r="AN114" s="36"/>
      <c r="AO114" s="218"/>
      <c r="AP114" s="218"/>
      <c r="AQ114" s="218">
        <v>9</v>
      </c>
      <c r="AR114" s="36"/>
      <c r="AS114" s="36"/>
      <c r="AT114" s="218"/>
      <c r="AU114" s="218"/>
      <c r="AV114" s="218">
        <v>7</v>
      </c>
      <c r="AW114" s="36"/>
      <c r="AX114" s="36"/>
    </row>
    <row r="115" spans="2:70" s="68" customFormat="1" ht="27" thickBot="1" x14ac:dyDescent="0.45">
      <c r="B115" s="197"/>
      <c r="C115" s="198"/>
      <c r="D115" s="199"/>
      <c r="F115" s="287" t="s">
        <v>138</v>
      </c>
      <c r="G115" s="288"/>
      <c r="H115" s="288"/>
      <c r="I115" s="288"/>
      <c r="J115" s="289"/>
      <c r="K115" s="287" t="s">
        <v>115</v>
      </c>
      <c r="L115" s="288"/>
      <c r="M115" s="288"/>
      <c r="N115" s="288"/>
      <c r="O115" s="289"/>
      <c r="P115" s="287" t="s">
        <v>123</v>
      </c>
      <c r="Q115" s="288"/>
      <c r="R115" s="288"/>
      <c r="S115" s="288"/>
      <c r="T115" s="289"/>
      <c r="U115" s="287" t="s">
        <v>113</v>
      </c>
      <c r="V115" s="288"/>
      <c r="W115" s="288"/>
      <c r="X115" s="288"/>
      <c r="Y115" s="289"/>
      <c r="Z115" s="287" t="s">
        <v>109</v>
      </c>
      <c r="AA115" s="288"/>
      <c r="AB115" s="288"/>
      <c r="AC115" s="288"/>
      <c r="AD115" s="289"/>
      <c r="AE115" s="287" t="s">
        <v>111</v>
      </c>
      <c r="AF115" s="288"/>
      <c r="AG115" s="288"/>
      <c r="AH115" s="288"/>
      <c r="AI115" s="289"/>
      <c r="AJ115" s="288" t="s">
        <v>117</v>
      </c>
      <c r="AK115" s="288"/>
      <c r="AL115" s="288"/>
      <c r="AM115" s="288"/>
      <c r="AN115" s="288"/>
      <c r="AO115" s="287" t="s">
        <v>116</v>
      </c>
      <c r="AP115" s="288"/>
      <c r="AQ115" s="288"/>
      <c r="AR115" s="288"/>
      <c r="AS115" s="289"/>
      <c r="AT115" s="287" t="s">
        <v>114</v>
      </c>
      <c r="AU115" s="288"/>
      <c r="AV115" s="288"/>
      <c r="AW115" s="288"/>
      <c r="AX115" s="289"/>
      <c r="AY115" s="200"/>
      <c r="AZ115" s="200"/>
      <c r="BA115" s="200"/>
      <c r="BB115" s="200"/>
      <c r="BC115" s="200"/>
      <c r="BD115" s="200"/>
      <c r="BE115" s="200"/>
      <c r="BF115" s="200"/>
      <c r="BG115" s="200"/>
      <c r="BH115" s="200"/>
      <c r="BI115" s="200"/>
      <c r="BJ115" s="200"/>
      <c r="BK115" s="200"/>
      <c r="BL115" s="200"/>
      <c r="BM115" s="200"/>
      <c r="BN115" s="200"/>
      <c r="BO115" s="200"/>
      <c r="BP115" s="200"/>
      <c r="BQ115" s="200"/>
      <c r="BR115" s="200"/>
    </row>
    <row r="116" spans="2:70" ht="46.5" thickTop="1" thickBot="1" x14ac:dyDescent="0.3">
      <c r="B116" s="13" t="s">
        <v>1</v>
      </c>
      <c r="C116" t="s">
        <v>2</v>
      </c>
      <c r="D116" s="152" t="s">
        <v>70</v>
      </c>
      <c r="E116"/>
      <c r="F116" s="208" t="s">
        <v>127</v>
      </c>
      <c r="G116" s="210" t="s">
        <v>145</v>
      </c>
      <c r="H116" s="210" t="s">
        <v>146</v>
      </c>
      <c r="I116" s="162" t="s">
        <v>128</v>
      </c>
      <c r="J116" s="172" t="s">
        <v>129</v>
      </c>
      <c r="K116" s="208" t="s">
        <v>127</v>
      </c>
      <c r="L116" s="210" t="s">
        <v>145</v>
      </c>
      <c r="M116" s="210" t="s">
        <v>146</v>
      </c>
      <c r="N116" s="162" t="s">
        <v>128</v>
      </c>
      <c r="O116" s="172" t="s">
        <v>129</v>
      </c>
      <c r="P116" s="208" t="s">
        <v>127</v>
      </c>
      <c r="Q116" s="210" t="s">
        <v>145</v>
      </c>
      <c r="R116" s="210" t="s">
        <v>146</v>
      </c>
      <c r="S116" s="162" t="s">
        <v>128</v>
      </c>
      <c r="T116" s="172" t="s">
        <v>129</v>
      </c>
      <c r="U116" s="208" t="s">
        <v>127</v>
      </c>
      <c r="V116" s="210" t="s">
        <v>145</v>
      </c>
      <c r="W116" s="210" t="s">
        <v>146</v>
      </c>
      <c r="X116" s="162" t="s">
        <v>128</v>
      </c>
      <c r="Y116" s="172" t="s">
        <v>129</v>
      </c>
      <c r="Z116" s="208" t="s">
        <v>127</v>
      </c>
      <c r="AA116" s="210" t="s">
        <v>145</v>
      </c>
      <c r="AB116" s="210" t="s">
        <v>146</v>
      </c>
      <c r="AC116" s="162" t="s">
        <v>128</v>
      </c>
      <c r="AD116" s="172" t="s">
        <v>129</v>
      </c>
      <c r="AE116" s="208" t="s">
        <v>127</v>
      </c>
      <c r="AF116" s="210" t="s">
        <v>145</v>
      </c>
      <c r="AG116" s="210" t="s">
        <v>146</v>
      </c>
      <c r="AH116" s="162" t="s">
        <v>128</v>
      </c>
      <c r="AI116" s="172" t="s">
        <v>129</v>
      </c>
      <c r="AJ116" s="208" t="s">
        <v>127</v>
      </c>
      <c r="AK116" s="210" t="s">
        <v>145</v>
      </c>
      <c r="AL116" s="210" t="s">
        <v>146</v>
      </c>
      <c r="AM116" s="162" t="s">
        <v>128</v>
      </c>
      <c r="AN116" s="172" t="s">
        <v>129</v>
      </c>
      <c r="AO116" s="208" t="s">
        <v>127</v>
      </c>
      <c r="AP116" s="210" t="s">
        <v>145</v>
      </c>
      <c r="AQ116" s="210" t="s">
        <v>146</v>
      </c>
      <c r="AR116" s="162" t="s">
        <v>128</v>
      </c>
      <c r="AS116" s="172" t="s">
        <v>129</v>
      </c>
      <c r="AT116" s="209" t="s">
        <v>127</v>
      </c>
      <c r="AU116" s="210" t="s">
        <v>145</v>
      </c>
      <c r="AV116" s="210" t="s">
        <v>146</v>
      </c>
      <c r="AW116" s="162" t="s">
        <v>128</v>
      </c>
      <c r="AX116" s="162" t="s">
        <v>129</v>
      </c>
      <c r="BR116" s="33"/>
    </row>
    <row r="117" spans="2:70" ht="15.75" thickTop="1" x14ac:dyDescent="0.25">
      <c r="B117" s="222">
        <v>1</v>
      </c>
      <c r="C117" s="223" t="s">
        <v>108</v>
      </c>
      <c r="D117" s="224">
        <f>SUM(D118:D124)</f>
        <v>1.5322755145749249</v>
      </c>
      <c r="E117"/>
      <c r="F117" s="173">
        <v>4</v>
      </c>
      <c r="G117" s="202">
        <v>2</v>
      </c>
      <c r="H117" s="174">
        <v>1</v>
      </c>
      <c r="I117" s="175">
        <v>61.050000000000004</v>
      </c>
      <c r="J117" s="179">
        <v>0.75497130985358141</v>
      </c>
      <c r="K117" s="173">
        <v>1</v>
      </c>
      <c r="L117" s="202">
        <v>1</v>
      </c>
      <c r="M117" s="174">
        <v>2</v>
      </c>
      <c r="N117" s="175">
        <v>33</v>
      </c>
      <c r="O117" s="179">
        <v>0.52380952380952384</v>
      </c>
      <c r="P117" s="173">
        <v>4</v>
      </c>
      <c r="Q117" s="202">
        <f>G117-1</f>
        <v>1</v>
      </c>
      <c r="R117" s="174">
        <v>2</v>
      </c>
      <c r="S117" s="175">
        <v>61.050000000000004</v>
      </c>
      <c r="T117" s="179">
        <v>0.24666666666666667</v>
      </c>
      <c r="U117" s="173">
        <v>5</v>
      </c>
      <c r="V117" s="174">
        <v>2</v>
      </c>
      <c r="W117" s="174">
        <v>2</v>
      </c>
      <c r="X117" s="175">
        <v>106.92</v>
      </c>
      <c r="Y117" s="181">
        <v>4.6712139498560996E-3</v>
      </c>
      <c r="Z117" s="173">
        <v>2</v>
      </c>
      <c r="AA117" s="174">
        <v>1</v>
      </c>
      <c r="AB117" s="174">
        <v>1</v>
      </c>
      <c r="AC117" s="175">
        <v>0.22710755813953487</v>
      </c>
      <c r="AD117" s="181">
        <v>2.1567669338987167E-3</v>
      </c>
      <c r="AE117" s="173">
        <v>3</v>
      </c>
      <c r="AF117" s="174">
        <v>5</v>
      </c>
      <c r="AG117" s="174">
        <v>2</v>
      </c>
      <c r="AH117" s="175">
        <v>7.9156829940340145</v>
      </c>
      <c r="AI117" s="205">
        <v>1.8440729164901607E-8</v>
      </c>
      <c r="AJ117" s="203">
        <v>6</v>
      </c>
      <c r="AK117" s="203">
        <v>3</v>
      </c>
      <c r="AL117" s="203">
        <v>5</v>
      </c>
      <c r="AM117" s="200">
        <v>6.9120000000000008</v>
      </c>
      <c r="AN117" s="204">
        <v>1.4920669185105235E-8</v>
      </c>
      <c r="AO117" s="173">
        <v>1</v>
      </c>
      <c r="AP117" s="202">
        <v>0</v>
      </c>
      <c r="AQ117" s="174">
        <v>3</v>
      </c>
      <c r="AR117" s="175">
        <v>33</v>
      </c>
      <c r="AS117" s="181">
        <v>0</v>
      </c>
      <c r="AT117" s="173">
        <v>1</v>
      </c>
      <c r="AU117" s="202">
        <v>0</v>
      </c>
      <c r="AV117" s="174">
        <v>1</v>
      </c>
      <c r="AW117" s="175">
        <v>33</v>
      </c>
      <c r="AX117" s="179">
        <v>0</v>
      </c>
      <c r="BR117" s="33"/>
    </row>
    <row r="118" spans="2:70" x14ac:dyDescent="0.25">
      <c r="B118" s="60"/>
      <c r="C118" s="43"/>
      <c r="D118" s="51">
        <f>J117</f>
        <v>0.75497130985358141</v>
      </c>
      <c r="E118"/>
      <c r="F118" s="173">
        <v>5</v>
      </c>
      <c r="G118" s="174">
        <v>2</v>
      </c>
      <c r="H118" s="174">
        <v>1</v>
      </c>
      <c r="I118" s="175">
        <v>106.92</v>
      </c>
      <c r="J118" s="176">
        <v>3.0877531830542072E-2</v>
      </c>
      <c r="K118" s="173"/>
      <c r="L118" s="174"/>
      <c r="M118" s="174"/>
      <c r="N118" s="175"/>
      <c r="O118" s="176"/>
      <c r="P118" s="173">
        <v>6</v>
      </c>
      <c r="Q118" s="174">
        <v>3</v>
      </c>
      <c r="R118" s="174">
        <v>3</v>
      </c>
      <c r="S118" s="175">
        <v>6.9120000000000008</v>
      </c>
      <c r="T118" s="176">
        <v>1.626352941176471E-8</v>
      </c>
      <c r="U118" s="173">
        <v>6</v>
      </c>
      <c r="V118" s="174">
        <v>3</v>
      </c>
      <c r="W118" s="174">
        <v>4</v>
      </c>
      <c r="X118" s="175">
        <v>6.9120000000000008</v>
      </c>
      <c r="Y118" s="176">
        <v>1.6102504368083868E-8</v>
      </c>
      <c r="Z118" s="173"/>
      <c r="AA118" s="174"/>
      <c r="AB118" s="174"/>
      <c r="AC118" s="175"/>
      <c r="AD118" s="176"/>
      <c r="AE118" s="173">
        <v>6</v>
      </c>
      <c r="AF118" s="174">
        <v>3</v>
      </c>
      <c r="AG118" s="174">
        <v>2</v>
      </c>
      <c r="AH118" s="175">
        <v>6.9120000000000008</v>
      </c>
      <c r="AI118" s="176">
        <v>1.6102504368083868E-8</v>
      </c>
      <c r="AJ118" s="203">
        <v>4</v>
      </c>
      <c r="AK118" s="203">
        <v>0</v>
      </c>
      <c r="AL118" s="203">
        <v>3</v>
      </c>
      <c r="AM118" s="200">
        <v>61.050000000000004</v>
      </c>
      <c r="AN118" s="200">
        <f>IF(AK118&gt;0,0.226299694189602,0)</f>
        <v>0</v>
      </c>
      <c r="AO118" s="173"/>
      <c r="AP118" s="174"/>
      <c r="AQ118" s="174"/>
      <c r="AR118" s="175"/>
      <c r="AS118" s="176"/>
      <c r="AT118" s="173"/>
      <c r="AU118" s="174"/>
      <c r="AV118" s="174"/>
      <c r="AW118" s="175"/>
      <c r="AX118" s="176"/>
      <c r="BR118" s="33"/>
    </row>
    <row r="119" spans="2:70" x14ac:dyDescent="0.25">
      <c r="B119" s="60"/>
      <c r="C119" s="43"/>
      <c r="D119" s="51">
        <f>O117</f>
        <v>0.52380952380952384</v>
      </c>
      <c r="F119" s="173">
        <v>3</v>
      </c>
      <c r="G119" s="174">
        <v>5</v>
      </c>
      <c r="H119" s="174">
        <v>1</v>
      </c>
      <c r="I119" s="175">
        <v>7.992</v>
      </c>
      <c r="J119" s="176">
        <v>2.7673130193905823E-7</v>
      </c>
      <c r="K119" s="173"/>
      <c r="L119" s="202"/>
      <c r="M119" s="174"/>
      <c r="N119" s="175"/>
      <c r="O119" s="176"/>
      <c r="P119" s="173"/>
      <c r="Q119" s="174"/>
      <c r="R119" s="174"/>
      <c r="S119" s="175"/>
      <c r="T119" s="176"/>
      <c r="U119" s="173"/>
      <c r="V119" s="174"/>
      <c r="W119" s="174"/>
      <c r="X119" s="175"/>
      <c r="Y119" s="176"/>
      <c r="Z119" s="173"/>
      <c r="AA119" s="174"/>
      <c r="AB119" s="174"/>
      <c r="AC119" s="175"/>
      <c r="AD119" s="176"/>
      <c r="AE119" s="173"/>
      <c r="AF119" s="174"/>
      <c r="AG119" s="174"/>
      <c r="AH119" s="175"/>
      <c r="AI119" s="176"/>
      <c r="AJ119" s="203"/>
      <c r="AK119" s="203"/>
      <c r="AL119" s="203"/>
      <c r="AM119" s="200"/>
      <c r="AN119" s="200"/>
      <c r="AO119" s="173"/>
      <c r="AP119" s="174"/>
      <c r="AQ119" s="174"/>
      <c r="AR119" s="175"/>
      <c r="AS119" s="176"/>
      <c r="AT119" s="173"/>
      <c r="AU119" s="174"/>
      <c r="AV119" s="174"/>
      <c r="AW119" s="175"/>
      <c r="AX119" s="176"/>
      <c r="BR119" s="33"/>
    </row>
    <row r="120" spans="2:70" x14ac:dyDescent="0.25">
      <c r="B120" s="60"/>
      <c r="C120" s="43"/>
      <c r="D120" s="51">
        <f>T117</f>
        <v>0.24666666666666667</v>
      </c>
      <c r="F120" s="173">
        <v>6</v>
      </c>
      <c r="G120" s="174">
        <v>3</v>
      </c>
      <c r="H120" s="174">
        <v>1</v>
      </c>
      <c r="I120" s="175">
        <v>6.9120000000000008</v>
      </c>
      <c r="J120" s="176">
        <v>2.3933518005540168E-7</v>
      </c>
      <c r="K120" s="173"/>
      <c r="L120" s="174"/>
      <c r="M120" s="174"/>
      <c r="N120" s="175"/>
      <c r="O120" s="176"/>
      <c r="P120" s="173"/>
      <c r="Q120" s="174"/>
      <c r="R120" s="174"/>
      <c r="S120" s="175"/>
      <c r="T120" s="176"/>
      <c r="U120" s="173"/>
      <c r="V120" s="174"/>
      <c r="W120" s="174"/>
      <c r="X120" s="175"/>
      <c r="Y120" s="176"/>
      <c r="Z120" s="173"/>
      <c r="AA120" s="174"/>
      <c r="AB120" s="174"/>
      <c r="AC120" s="175"/>
      <c r="AD120" s="176"/>
      <c r="AE120" s="173"/>
      <c r="AF120" s="174"/>
      <c r="AG120" s="174"/>
      <c r="AH120" s="175"/>
      <c r="AI120" s="176"/>
      <c r="AJ120" s="203"/>
      <c r="AK120" s="203"/>
      <c r="AL120" s="203"/>
      <c r="AM120" s="200"/>
      <c r="AN120" s="200"/>
      <c r="AO120" s="173"/>
      <c r="AP120" s="174"/>
      <c r="AQ120" s="174"/>
      <c r="AR120" s="175"/>
      <c r="AS120" s="176"/>
      <c r="AT120" s="173"/>
      <c r="AU120" s="174"/>
      <c r="AV120" s="174"/>
      <c r="AW120" s="175"/>
      <c r="AX120" s="176"/>
      <c r="BR120" s="33"/>
    </row>
    <row r="121" spans="2:70" x14ac:dyDescent="0.25">
      <c r="B121" s="273"/>
      <c r="C121" s="57"/>
      <c r="D121" s="276">
        <f>Y117</f>
        <v>4.6712139498560996E-3</v>
      </c>
    </row>
    <row r="122" spans="2:70" ht="15.75" x14ac:dyDescent="0.25">
      <c r="B122" s="273"/>
      <c r="C122" s="57"/>
      <c r="D122" s="277">
        <f>AD117</f>
        <v>2.1567669338987167E-3</v>
      </c>
    </row>
    <row r="123" spans="2:70" s="242" customFormat="1" ht="15.75" x14ac:dyDescent="0.25">
      <c r="B123" s="274"/>
      <c r="C123" s="275"/>
      <c r="D123" s="277">
        <f>AI117</f>
        <v>1.8440729164901607E-8</v>
      </c>
      <c r="E123" s="244"/>
      <c r="F123" s="214" t="s">
        <v>152</v>
      </c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4"/>
      <c r="R123" s="244"/>
      <c r="S123" s="244"/>
      <c r="T123" s="244"/>
      <c r="U123" s="244"/>
      <c r="V123" s="244"/>
      <c r="W123" s="244"/>
    </row>
    <row r="124" spans="2:70" ht="15.75" x14ac:dyDescent="0.25">
      <c r="B124" s="273"/>
      <c r="C124" s="57"/>
      <c r="D124" s="277">
        <f>AN117</f>
        <v>1.4920669185105235E-8</v>
      </c>
    </row>
  </sheetData>
  <mergeCells count="84">
    <mergeCell ref="F98:J98"/>
    <mergeCell ref="K98:O98"/>
    <mergeCell ref="E22:E26"/>
    <mergeCell ref="E59:E63"/>
    <mergeCell ref="F115:J115"/>
    <mergeCell ref="K115:O115"/>
    <mergeCell ref="E89:E91"/>
    <mergeCell ref="P115:T115"/>
    <mergeCell ref="U115:Y115"/>
    <mergeCell ref="Z115:AD115"/>
    <mergeCell ref="AO115:AS115"/>
    <mergeCell ref="AT115:AX115"/>
    <mergeCell ref="U98:Y98"/>
    <mergeCell ref="Z98:AD98"/>
    <mergeCell ref="AE98:AI98"/>
    <mergeCell ref="AJ98:AN98"/>
    <mergeCell ref="AE115:AI115"/>
    <mergeCell ref="AJ115:AN115"/>
    <mergeCell ref="AO98:AS98"/>
    <mergeCell ref="AT98:AX98"/>
    <mergeCell ref="P98:T98"/>
    <mergeCell ref="AT57:AX57"/>
    <mergeCell ref="F81:J81"/>
    <mergeCell ref="K81:O81"/>
    <mergeCell ref="P81:T81"/>
    <mergeCell ref="U81:Y81"/>
    <mergeCell ref="Z81:AD81"/>
    <mergeCell ref="AE81:AI81"/>
    <mergeCell ref="AJ81:AN81"/>
    <mergeCell ref="AO81:AS81"/>
    <mergeCell ref="AT81:AX81"/>
    <mergeCell ref="U57:Y57"/>
    <mergeCell ref="Z57:AD57"/>
    <mergeCell ref="AE57:AI57"/>
    <mergeCell ref="AT68:AX68"/>
    <mergeCell ref="AE68:AI68"/>
    <mergeCell ref="AJ68:AN68"/>
    <mergeCell ref="AO68:AS68"/>
    <mergeCell ref="F57:J57"/>
    <mergeCell ref="K57:O57"/>
    <mergeCell ref="P57:T57"/>
    <mergeCell ref="AJ57:AN57"/>
    <mergeCell ref="AO57:AS57"/>
    <mergeCell ref="F68:J68"/>
    <mergeCell ref="K68:O68"/>
    <mergeCell ref="P68:T68"/>
    <mergeCell ref="U68:Y68"/>
    <mergeCell ref="Z68:AD68"/>
    <mergeCell ref="U45:Y45"/>
    <mergeCell ref="Z45:AD45"/>
    <mergeCell ref="F32:J32"/>
    <mergeCell ref="AT32:AX32"/>
    <mergeCell ref="Z32:AD32"/>
    <mergeCell ref="AJ32:AN32"/>
    <mergeCell ref="K32:O32"/>
    <mergeCell ref="P32:T32"/>
    <mergeCell ref="AT45:AX45"/>
    <mergeCell ref="F45:J45"/>
    <mergeCell ref="K45:O45"/>
    <mergeCell ref="P45:T45"/>
    <mergeCell ref="AE45:AI45"/>
    <mergeCell ref="AJ45:AN45"/>
    <mergeCell ref="AO45:AS45"/>
    <mergeCell ref="AO20:AS20"/>
    <mergeCell ref="AT20:AX20"/>
    <mergeCell ref="U32:Y32"/>
    <mergeCell ref="AE32:AI32"/>
    <mergeCell ref="AO32:AS32"/>
    <mergeCell ref="AJ8:AN8"/>
    <mergeCell ref="AO8:AS8"/>
    <mergeCell ref="AT8:AX8"/>
    <mergeCell ref="AE8:AI8"/>
    <mergeCell ref="F20:J20"/>
    <mergeCell ref="K20:O20"/>
    <mergeCell ref="P20:T20"/>
    <mergeCell ref="U20:Y20"/>
    <mergeCell ref="Z20:AD20"/>
    <mergeCell ref="F8:J8"/>
    <mergeCell ref="K8:O8"/>
    <mergeCell ref="P8:T8"/>
    <mergeCell ref="U8:Y8"/>
    <mergeCell ref="Z8:AD8"/>
    <mergeCell ref="AE20:AI20"/>
    <mergeCell ref="AJ20:AN20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FA648-1D3B-4786-AF6C-FE3BB6B5975F}">
  <dimension ref="B3:L28"/>
  <sheetViews>
    <sheetView workbookViewId="0">
      <selection activeCell="J21" sqref="J21"/>
    </sheetView>
  </sheetViews>
  <sheetFormatPr baseColWidth="10" defaultRowHeight="15" x14ac:dyDescent="0.25"/>
  <sheetData>
    <row r="3" spans="2:12" ht="26.25" x14ac:dyDescent="0.4">
      <c r="B3" s="31"/>
      <c r="C3" s="291" t="s">
        <v>75</v>
      </c>
      <c r="D3" s="292"/>
      <c r="E3" s="292"/>
      <c r="F3" s="292"/>
      <c r="G3" s="292"/>
      <c r="H3" s="33"/>
      <c r="I3" s="33"/>
      <c r="J3" s="33"/>
      <c r="K3" s="33"/>
      <c r="L3" s="33"/>
    </row>
    <row r="4" spans="2:12" ht="15.75" thickBot="1" x14ac:dyDescent="0.3">
      <c r="B4" s="137" t="s">
        <v>74</v>
      </c>
      <c r="C4" s="81">
        <f>Positionen!B6</f>
        <v>1</v>
      </c>
      <c r="D4" s="81">
        <f>Positionen!B7</f>
        <v>2</v>
      </c>
      <c r="E4" s="81">
        <f>Positionen!B8</f>
        <v>3</v>
      </c>
      <c r="F4" s="81">
        <f>Positionen!B9</f>
        <v>4</v>
      </c>
      <c r="G4" s="81">
        <f>Positionen!B10</f>
        <v>5</v>
      </c>
      <c r="H4" s="81">
        <f>Positionen!B11</f>
        <v>6</v>
      </c>
      <c r="I4" s="81">
        <f>Positionen!B12</f>
        <v>7</v>
      </c>
      <c r="J4" s="81">
        <f>Positionen!B13</f>
        <v>8</v>
      </c>
      <c r="K4" s="81">
        <f>Positionen!B14</f>
        <v>9</v>
      </c>
      <c r="L4" s="81">
        <f>Positionen!B15</f>
        <v>10</v>
      </c>
    </row>
    <row r="5" spans="2:12" ht="15.75" thickTop="1" x14ac:dyDescent="0.25">
      <c r="B5" s="138">
        <f>Positionen!B6</f>
        <v>1</v>
      </c>
      <c r="C5" s="139">
        <v>0</v>
      </c>
      <c r="D5" s="140"/>
      <c r="E5" s="140"/>
      <c r="F5" s="140"/>
      <c r="G5" s="140"/>
      <c r="H5" s="140"/>
      <c r="I5" s="140"/>
      <c r="J5" s="140"/>
      <c r="K5" s="140"/>
      <c r="L5" s="140"/>
    </row>
    <row r="6" spans="2:12" x14ac:dyDescent="0.25">
      <c r="B6" s="138">
        <f>Positionen!B7</f>
        <v>2</v>
      </c>
      <c r="C6" s="141">
        <f>SQRT((Positionen!$D$6-Positionen!$D7)^2+(Positionen!$E$6-Positionen!$E7)^2+(Positionen!$F$6-Positionen!$F7)^2)</f>
        <v>4.5</v>
      </c>
      <c r="D6" s="82">
        <v>0</v>
      </c>
      <c r="E6" s="82"/>
      <c r="F6" s="82"/>
      <c r="G6" s="82"/>
      <c r="H6" s="82"/>
      <c r="I6" s="82"/>
      <c r="J6" s="82"/>
      <c r="K6" s="82"/>
      <c r="L6" s="82"/>
    </row>
    <row r="7" spans="2:12" x14ac:dyDescent="0.25">
      <c r="B7" s="138">
        <f>Positionen!B8</f>
        <v>3</v>
      </c>
      <c r="C7" s="141">
        <f>SQRT((Positionen!$D$6-Positionen!$D8)^2+(Positionen!$E$6-Positionen!$E8)^2+(Positionen!$F$6-Positionen!$F8)^2)</f>
        <v>3.8</v>
      </c>
      <c r="D7" s="82">
        <f>SQRT((Positionen!$D$7-Positionen!$D8)^2+(Positionen!$E$7-Positionen!$E8)^2+(Positionen!$F$7-Positionen!$F8)^2)</f>
        <v>8.3000000000000007</v>
      </c>
      <c r="E7" s="82">
        <v>0</v>
      </c>
      <c r="F7" s="82"/>
      <c r="G7" s="82"/>
      <c r="H7" s="82"/>
      <c r="I7" s="82"/>
      <c r="J7" s="82"/>
      <c r="K7" s="82"/>
      <c r="L7" s="82"/>
    </row>
    <row r="8" spans="2:12" x14ac:dyDescent="0.25">
      <c r="B8" s="138">
        <f>Positionen!B9</f>
        <v>4</v>
      </c>
      <c r="C8" s="141">
        <f>SQRT((Positionen!$D$6-Positionen!$D9)^2+(Positionen!$E$6-Positionen!$E9)^2+(Positionen!$F$6-Positionen!$F9)^2)</f>
        <v>5.024937810560445</v>
      </c>
      <c r="D8" s="82">
        <f>SQRT((Positionen!$D$7-Positionen!$D9)^2+(Positionen!$E$7-Positionen!$E9)^2+(Positionen!$F$7-Positionen!$F9)^2)</f>
        <v>6.4031242374328485</v>
      </c>
      <c r="E8" s="82">
        <f>SQRT((Positionen!$D$8-Positionen!$D9)^2+(Positionen!$E$8-Positionen!$E9)^2+(Positionen!$F$8-Positionen!$F9)^2)</f>
        <v>6.5946948375190182</v>
      </c>
      <c r="F8" s="82">
        <v>0</v>
      </c>
      <c r="G8" s="82"/>
      <c r="H8" s="82"/>
      <c r="I8" s="82"/>
      <c r="J8" s="82"/>
      <c r="K8" s="82"/>
      <c r="L8" s="82"/>
    </row>
    <row r="9" spans="2:12" x14ac:dyDescent="0.25">
      <c r="B9" s="138">
        <f>Positionen!B10</f>
        <v>5</v>
      </c>
      <c r="C9" s="141">
        <f>SQRT((Positionen!$D$6-Positionen!$D10)^2+(Positionen!$E$6-Positionen!$E10)^2+(Positionen!$F$6-Positionen!$F10)^2)</f>
        <v>5</v>
      </c>
      <c r="D9" s="82">
        <f>SQRT((Positionen!$D$7-Positionen!$D10)^2+(Positionen!$E$7-Positionen!$E10)^2+(Positionen!$F$7-Positionen!$F10)^2)</f>
        <v>6.7268120235368549</v>
      </c>
      <c r="E9" s="82">
        <f>SQRT((Positionen!$D$8-Positionen!$D10)^2+(Positionen!$E$8-Positionen!$E10)^2+(Positionen!$F$8-Positionen!$F10)^2)</f>
        <v>6.2801273872430325</v>
      </c>
      <c r="F9" s="82">
        <f>SQRT((Positionen!$D$9-Positionen!$D10)^2+(Positionen!$E$9-Positionen!$E10)^2+(Positionen!$F$9-Positionen!$F10)^2)</f>
        <v>0.5</v>
      </c>
      <c r="G9" s="82">
        <v>0</v>
      </c>
      <c r="H9" s="82"/>
      <c r="I9" s="82"/>
      <c r="J9" s="82"/>
      <c r="K9" s="82"/>
      <c r="L9" s="82"/>
    </row>
    <row r="10" spans="2:12" x14ac:dyDescent="0.25">
      <c r="B10" s="138">
        <f>Positionen!B11</f>
        <v>6</v>
      </c>
      <c r="C10" s="141">
        <f>SQRT((Positionen!$D$6-Positionen!$D11)^2+(Positionen!$E$6-Positionen!$E11)^2+(Positionen!$F$6-Positionen!$F11)^2)</f>
        <v>5.024937810560445</v>
      </c>
      <c r="D10" s="82">
        <f>SQRT((Positionen!$D$7-Positionen!$D11)^2+(Positionen!$E$7-Positionen!$E11)^2+(Positionen!$F$7-Positionen!$F11)^2)</f>
        <v>7.0710678118654755</v>
      </c>
      <c r="E10" s="82">
        <f>SQRT((Positionen!$D$8-Positionen!$D11)^2+(Positionen!$E$8-Positionen!$E11)^2+(Positionen!$F$8-Positionen!$F11)^2)</f>
        <v>5.990826320300064</v>
      </c>
      <c r="F10" s="82">
        <f>SQRT((Positionen!$D$9-Positionen!$D11)^2+(Positionen!$E$9-Positionen!$E11)^2+(Positionen!$F$9-Positionen!$F11)^2)</f>
        <v>1</v>
      </c>
      <c r="G10" s="82">
        <f>SQRT((Positionen!$D$10-Positionen!$D11)^2+(Positionen!$E$10-Positionen!$E11)^2+(Positionen!$F$10-Positionen!$F11)^2)</f>
        <v>0.5</v>
      </c>
      <c r="H10" s="82">
        <f>SQRT((Positionen!$D$11-Positionen!$D11)^2+(Positionen!$E$11-Positionen!$E11)^2+(Positionen!$F$11-Positionen!$F11)^2)</f>
        <v>0</v>
      </c>
      <c r="I10" s="82"/>
      <c r="J10" s="82"/>
      <c r="K10" s="82"/>
      <c r="L10" s="82"/>
    </row>
    <row r="11" spans="2:12" x14ac:dyDescent="0.25">
      <c r="B11" s="138">
        <f>Positionen!B12</f>
        <v>7</v>
      </c>
      <c r="C11" s="141">
        <f>SQRT((Positionen!$D$6-Positionen!$D12)^2+(Positionen!$E$6-Positionen!$E12)^2+(Positionen!$F$6-Positionen!$F12)^2)</f>
        <v>6.5</v>
      </c>
      <c r="D11" s="82">
        <f>SQRT((Positionen!$D$7-Positionen!$D12)^2+(Positionen!$E$7-Positionen!$E12)^2+(Positionen!$F$7-Positionen!$F12)^2)</f>
        <v>7.9056941504209481</v>
      </c>
      <c r="E11" s="82">
        <f>SQRT((Positionen!$D$8-Positionen!$D12)^2+(Positionen!$E$8-Positionen!$E12)^2+(Positionen!$F$8-Positionen!$F12)^2)</f>
        <v>7.529276193632426</v>
      </c>
      <c r="F11" s="82">
        <f>SQRT((Positionen!$D$9-Positionen!$D12)^2+(Positionen!$E$9-Positionen!$E12)^2+(Positionen!$F$9-Positionen!$F12)^2)</f>
        <v>11.510864433221338</v>
      </c>
      <c r="G11" s="82">
        <f>SQRT((Positionen!$D$10-Positionen!$D12)^2+(Positionen!$E$10-Positionen!$E12)^2+(Positionen!$F$10-Positionen!$F12)^2)</f>
        <v>11.5</v>
      </c>
      <c r="H11" s="82">
        <f>SQRT((Positionen!$D$11-Positionen!$D12)^2+(Positionen!$E$11-Positionen!$E12)^2+(Positionen!$F$11-Positionen!$F12)^2)</f>
        <v>11.510864433221338</v>
      </c>
      <c r="I11" s="82">
        <f>SQRT((Positionen!$D$12-Positionen!$D12)^2+(Positionen!$E$12-Positionen!$E12)^2+(Positionen!$F$12-Positionen!$F12)^2)</f>
        <v>0</v>
      </c>
      <c r="J11" s="82"/>
      <c r="K11" s="82"/>
      <c r="L11" s="82"/>
    </row>
    <row r="12" spans="2:12" x14ac:dyDescent="0.25">
      <c r="B12" s="138">
        <f>Positionen!B13</f>
        <v>8</v>
      </c>
      <c r="C12" s="141">
        <f>SQRT((Positionen!$D$6-Positionen!$D13)^2+(Positionen!$E$6-Positionen!$E13)^2+(Positionen!$F$6-Positionen!$F13)^2)</f>
        <v>4.7434164902525691</v>
      </c>
      <c r="D12" s="82">
        <f>SQRT((Positionen!$D$7-Positionen!$D13)^2+(Positionen!$E$7-Positionen!$E13)^2+(Positionen!$F$7-Positionen!$F13)^2)</f>
        <v>5.4083269131959844</v>
      </c>
      <c r="E12" s="82">
        <f>SQRT((Positionen!$D$8-Positionen!$D13)^2+(Positionen!$E$8-Positionen!$E13)^2+(Positionen!$F$8-Positionen!$F13)^2)</f>
        <v>6.9526973183074787</v>
      </c>
      <c r="F12" s="82">
        <f>SQRT((Positionen!$D$9-Positionen!$D13)^2+(Positionen!$E$9-Positionen!$E13)^2+(Positionen!$F$9-Positionen!$F13)^2)</f>
        <v>9.5524865872713995</v>
      </c>
      <c r="G12" s="82">
        <f>SQRT((Positionen!$D$10-Positionen!$D13)^2+(Positionen!$E$10-Positionen!$E13)^2+(Positionen!$F$10-Positionen!$F13)^2)</f>
        <v>9.6176920308356717</v>
      </c>
      <c r="H12" s="82">
        <f>SQRT((Positionen!$D$11-Positionen!$D13)^2+(Positionen!$E$11-Positionen!$E13)^2+(Positionen!$F$11-Positionen!$F13)^2)</f>
        <v>9.7082439194737997</v>
      </c>
      <c r="I12" s="82">
        <f>SQRT((Positionen!$D$12-Positionen!$D13)^2+(Positionen!$E$12-Positionen!$E13)^2+(Positionen!$F$12-Positionen!$F13)^2)</f>
        <v>2.5</v>
      </c>
      <c r="J12" s="82">
        <f>SQRT((Positionen!$D$13-Positionen!$D13)^2+(Positionen!$E$13-Positionen!$E13)^2+(Positionen!$F$13-Positionen!$F13)^2)</f>
        <v>0</v>
      </c>
      <c r="K12" s="82"/>
      <c r="L12" s="82"/>
    </row>
    <row r="13" spans="2:12" x14ac:dyDescent="0.25">
      <c r="B13" s="138">
        <f>Positionen!B14</f>
        <v>9</v>
      </c>
      <c r="C13" s="141">
        <f>SQRT((Positionen!$D$6-Positionen!$D14)^2+(Positionen!$E$6-Positionen!$E14)^2+(Positionen!$F$6-Positionen!$F14)^2)</f>
        <v>4.7434164902525691</v>
      </c>
      <c r="D13" s="82">
        <f>SQRT((Positionen!$D$7-Positionen!$D14)^2+(Positionen!$E$7-Positionen!$E14)^2+(Positionen!$F$7-Positionen!$F14)^2)</f>
        <v>7.5</v>
      </c>
      <c r="E13" s="82">
        <f>SQRT((Positionen!$D$8-Positionen!$D14)^2+(Positionen!$E$8-Positionen!$E14)^2+(Positionen!$F$8-Positionen!$F14)^2)</f>
        <v>5.0537115073973107</v>
      </c>
      <c r="F13" s="82">
        <f>SQRT((Positionen!$D$9-Positionen!$D14)^2+(Positionen!$E$9-Positionen!$E14)^2+(Positionen!$F$9-Positionen!$F14)^2)</f>
        <v>9.7082439194737997</v>
      </c>
      <c r="G13" s="82">
        <f>SQRT((Positionen!$D$10-Positionen!$D14)^2+(Positionen!$E$10-Positionen!$E14)^2+(Positionen!$F$10-Positionen!$F14)^2)</f>
        <v>9.6176920308356717</v>
      </c>
      <c r="H13" s="82">
        <f>SQRT((Positionen!$D$11-Positionen!$D14)^2+(Positionen!$E$11-Positionen!$E14)^2+(Positionen!$F$11-Positionen!$F14)^2)</f>
        <v>9.5524865872713995</v>
      </c>
      <c r="I13" s="82">
        <f>SQRT((Positionen!$D$12-Positionen!$D14)^2+(Positionen!$E$12-Positionen!$E14)^2+(Positionen!$F$12-Positionen!$F14)^2)</f>
        <v>2.5</v>
      </c>
      <c r="J13" s="82">
        <f>SQRT((Positionen!$D$13-Positionen!$D14)^2+(Positionen!$E$13-Positionen!$E14)^2+(Positionen!$F$13-Positionen!$F14)^2)</f>
        <v>3</v>
      </c>
      <c r="K13" s="82">
        <f>SQRT((Positionen!$D$14-Positionen!$D14)^2+(Positionen!$E$14-Positionen!$E14)^2+(Positionen!$F$14-Positionen!$F14)^2)</f>
        <v>0</v>
      </c>
      <c r="L13" s="82"/>
    </row>
    <row r="14" spans="2:12" x14ac:dyDescent="0.25">
      <c r="B14" s="138">
        <f>Positionen!B15</f>
        <v>10</v>
      </c>
      <c r="C14" s="141">
        <f>SQRT((Positionen!$D$6-Positionen!$D15)^2+(Positionen!$E$6-Positionen!$E15)^2+(Positionen!$F$6-Positionen!$F15)^2)</f>
        <v>5.2201532544552753</v>
      </c>
      <c r="D14" s="82">
        <f>SQRT((Positionen!$D$7-Positionen!$D15)^2+(Positionen!$E$7-Positionen!$E15)^2+(Positionen!$F$7-Positionen!$F15)^2)</f>
        <v>7.810249675906654</v>
      </c>
      <c r="E14" s="82">
        <f>SQRT((Positionen!$D$8-Positionen!$D15)^2+(Positionen!$E$8-Positionen!$E15)^2+(Positionen!$F$8-Positionen!$F15)^2)</f>
        <v>5.5036351623268054</v>
      </c>
      <c r="F14" s="82">
        <f>SQRT((Positionen!$D$9-Positionen!$D15)^2+(Positionen!$E$9-Positionen!$E15)^2+(Positionen!$F$9-Positionen!$F15)^2)</f>
        <v>2</v>
      </c>
      <c r="G14" s="82">
        <f>SQRT((Positionen!$D$10-Positionen!$D15)^2+(Positionen!$E$10-Positionen!$E15)^2+(Positionen!$F$10-Positionen!$F15)^2)</f>
        <v>1.5</v>
      </c>
      <c r="H14" s="82">
        <f>SQRT((Positionen!$D$11-Positionen!$D15)^2+(Positionen!$E$11-Positionen!$E15)^2+(Positionen!$F$11-Positionen!$F15)^2)</f>
        <v>1</v>
      </c>
      <c r="I14" s="82">
        <f>SQRT((Positionen!$D$12-Positionen!$D15)^2+(Positionen!$E$12-Positionen!$E15)^2+(Positionen!$F$12-Positionen!$F15)^2)</f>
        <v>11.597413504743201</v>
      </c>
      <c r="J14" s="82">
        <f>SQRT((Positionen!$D$13-Positionen!$D15)^2+(Positionen!$E$13-Positionen!$E15)^2+(Positionen!$F$13-Positionen!$F15)^2)</f>
        <v>9.9624294225856378</v>
      </c>
      <c r="K14" s="82">
        <f>SQRT((Positionen!$D$14-Positionen!$D15)^2+(Positionen!$E$14-Positionen!$E15)^2+(Positionen!$F$14-Positionen!$F15)^2)</f>
        <v>9.5</v>
      </c>
      <c r="L14" s="82">
        <f>SQRT((Positionen!$D$15-Positionen!$D15)^2+(Positionen!$E$15-Positionen!$E15)^2+(Positionen!$F$15-Positionen!$F15)^2)</f>
        <v>0</v>
      </c>
    </row>
    <row r="19" spans="2:11" s="7" customFormat="1" ht="18.75" x14ac:dyDescent="0.3">
      <c r="B19" s="7" t="s">
        <v>130</v>
      </c>
    </row>
    <row r="20" spans="2:11" s="163" customFormat="1" ht="15.75" x14ac:dyDescent="0.25">
      <c r="F20" s="163" t="s">
        <v>18</v>
      </c>
    </row>
    <row r="21" spans="2:11" s="163" customFormat="1" ht="32.25" thickBot="1" x14ac:dyDescent="0.3">
      <c r="B21" s="164" t="s">
        <v>131</v>
      </c>
      <c r="C21" s="164" t="s">
        <v>5</v>
      </c>
      <c r="D21" s="166" t="s">
        <v>136</v>
      </c>
      <c r="E21" s="164" t="s">
        <v>9</v>
      </c>
      <c r="F21" s="167" t="str">
        <f>Quellen!E7</f>
        <v>J-131+</v>
      </c>
      <c r="G21" s="168" t="str">
        <f>Quellen!E8</f>
        <v>Mo-99+</v>
      </c>
      <c r="H21" s="168" t="str">
        <f>Quellen!E9</f>
        <v>Tc-99m</v>
      </c>
      <c r="I21" s="168" t="str">
        <f>Quellen!E10</f>
        <v>F-18</v>
      </c>
      <c r="J21" s="168" t="str">
        <f>Quellen!E11</f>
        <v>In-111+</v>
      </c>
      <c r="K21" s="168" t="str">
        <f>Quellen!E12</f>
        <v>Tc-99m</v>
      </c>
    </row>
    <row r="22" spans="2:11" ht="15.75" thickTop="1" x14ac:dyDescent="0.25">
      <c r="B22" s="159">
        <v>1</v>
      </c>
      <c r="C22" s="159" t="s">
        <v>132</v>
      </c>
      <c r="D22" s="159">
        <v>5</v>
      </c>
      <c r="E22" t="s">
        <v>137</v>
      </c>
      <c r="F22" s="169">
        <v>2.8</v>
      </c>
      <c r="G22" s="24">
        <v>3.7</v>
      </c>
      <c r="H22" s="24">
        <v>1318</v>
      </c>
      <c r="I22" s="67">
        <v>2.1</v>
      </c>
      <c r="J22" s="159">
        <v>17.399999999999999</v>
      </c>
      <c r="K22" s="24">
        <v>1318</v>
      </c>
    </row>
    <row r="23" spans="2:11" x14ac:dyDescent="0.25">
      <c r="B23" s="159">
        <v>2</v>
      </c>
      <c r="C23" s="159" t="s">
        <v>133</v>
      </c>
      <c r="D23" s="159">
        <v>7.5</v>
      </c>
      <c r="E23" t="s">
        <v>137</v>
      </c>
      <c r="F23" s="169">
        <v>5.3</v>
      </c>
      <c r="G23" s="24">
        <v>5.2</v>
      </c>
      <c r="H23" s="24">
        <v>57803</v>
      </c>
      <c r="I23" s="67">
        <v>3.3</v>
      </c>
      <c r="J23" s="159">
        <v>64.5</v>
      </c>
      <c r="K23" s="24">
        <v>57803</v>
      </c>
    </row>
    <row r="24" spans="2:11" x14ac:dyDescent="0.25">
      <c r="B24" s="159">
        <v>3</v>
      </c>
      <c r="C24" s="159" t="s">
        <v>134</v>
      </c>
      <c r="D24" s="159">
        <v>10</v>
      </c>
      <c r="E24" t="s">
        <v>137</v>
      </c>
      <c r="F24" s="169">
        <v>10.199999999999999</v>
      </c>
      <c r="G24" s="24">
        <v>7.7</v>
      </c>
      <c r="H24" s="170">
        <v>2000000</v>
      </c>
      <c r="I24" s="66">
        <v>5.6</v>
      </c>
      <c r="J24" s="159">
        <v>239.8</v>
      </c>
      <c r="K24" s="170">
        <v>2000000</v>
      </c>
    </row>
    <row r="25" spans="2:11" x14ac:dyDescent="0.25">
      <c r="B25" s="159">
        <v>4</v>
      </c>
      <c r="C25" s="159" t="s">
        <v>135</v>
      </c>
      <c r="D25" s="159">
        <v>12.5</v>
      </c>
      <c r="E25" t="s">
        <v>137</v>
      </c>
      <c r="F25" s="169">
        <v>19.5</v>
      </c>
      <c r="G25" s="24">
        <v>11.6</v>
      </c>
      <c r="H25" s="170">
        <v>17000000</v>
      </c>
      <c r="I25" s="66">
        <v>9.9</v>
      </c>
      <c r="J25" s="159">
        <v>906.5</v>
      </c>
      <c r="K25" s="170">
        <v>17000000</v>
      </c>
    </row>
    <row r="26" spans="2:11" x14ac:dyDescent="0.25">
      <c r="F26" s="165"/>
    </row>
    <row r="27" spans="2:11" x14ac:dyDescent="0.25">
      <c r="F27" s="165"/>
    </row>
    <row r="28" spans="2:11" x14ac:dyDescent="0.25">
      <c r="F28" s="165"/>
    </row>
  </sheetData>
  <mergeCells count="1">
    <mergeCell ref="C3:G3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6160C-DACA-4675-BE71-8347B6288506}">
  <dimension ref="A3:M17"/>
  <sheetViews>
    <sheetView workbookViewId="0"/>
  </sheetViews>
  <sheetFormatPr baseColWidth="10" defaultRowHeight="15" x14ac:dyDescent="0.25"/>
  <cols>
    <col min="1" max="1" width="6" customWidth="1"/>
    <col min="2" max="2" width="16" customWidth="1"/>
    <col min="3" max="3" width="8.42578125" style="8" customWidth="1"/>
    <col min="4" max="4" width="10.7109375" style="23" customWidth="1"/>
    <col min="5" max="5" width="8.5703125" customWidth="1"/>
    <col min="6" max="6" width="9.140625" customWidth="1"/>
    <col min="7" max="7" width="9.140625" style="32" customWidth="1"/>
    <col min="8" max="8" width="9.28515625" style="15" customWidth="1"/>
    <col min="9" max="9" width="8.5703125" customWidth="1"/>
    <col min="10" max="10" width="11.42578125" style="8"/>
    <col min="11" max="11" width="9.28515625" style="8" customWidth="1"/>
    <col min="12" max="12" width="9.5703125" style="15" customWidth="1"/>
    <col min="13" max="13" width="11.42578125" style="32"/>
  </cols>
  <sheetData>
    <row r="3" spans="1:13" s="3" customFormat="1" ht="26.25" x14ac:dyDescent="0.4">
      <c r="A3" s="3" t="s">
        <v>18</v>
      </c>
      <c r="C3" s="21"/>
      <c r="D3" s="21"/>
      <c r="G3" s="21"/>
      <c r="H3" s="14"/>
      <c r="J3" s="21"/>
      <c r="K3" s="21"/>
      <c r="L3" s="14"/>
      <c r="M3" s="21"/>
    </row>
    <row r="4" spans="1:13" ht="26.25" x14ac:dyDescent="0.4">
      <c r="I4" s="3"/>
      <c r="J4" s="21"/>
    </row>
    <row r="5" spans="1:13" x14ac:dyDescent="0.25">
      <c r="I5" s="280" t="s">
        <v>26</v>
      </c>
      <c r="J5" s="292"/>
      <c r="K5" s="292"/>
    </row>
    <row r="6" spans="1:13" s="4" customFormat="1" ht="45.75" thickBot="1" x14ac:dyDescent="0.3">
      <c r="A6" s="4" t="s">
        <v>24</v>
      </c>
      <c r="B6" s="4" t="s">
        <v>2</v>
      </c>
      <c r="C6" s="20" t="s">
        <v>50</v>
      </c>
      <c r="D6" s="20" t="s">
        <v>69</v>
      </c>
      <c r="E6" s="4" t="s">
        <v>20</v>
      </c>
      <c r="F6" s="17" t="s">
        <v>25</v>
      </c>
      <c r="G6" s="20" t="s">
        <v>76</v>
      </c>
      <c r="H6" s="18" t="s">
        <v>36</v>
      </c>
      <c r="I6" s="4" t="s">
        <v>9</v>
      </c>
      <c r="J6" s="20" t="s">
        <v>10</v>
      </c>
      <c r="K6" s="22" t="s">
        <v>27</v>
      </c>
      <c r="L6" s="18" t="s">
        <v>37</v>
      </c>
      <c r="M6" s="20" t="s">
        <v>79</v>
      </c>
    </row>
    <row r="7" spans="1:13" x14ac:dyDescent="0.25">
      <c r="A7" s="48">
        <v>1</v>
      </c>
      <c r="B7" s="41" t="s">
        <v>118</v>
      </c>
      <c r="C7" s="38">
        <v>1</v>
      </c>
      <c r="D7" s="53">
        <v>3</v>
      </c>
      <c r="E7" s="41" t="s">
        <v>45</v>
      </c>
      <c r="F7" s="41">
        <v>500</v>
      </c>
      <c r="G7" s="38">
        <v>0.999</v>
      </c>
      <c r="H7" s="52">
        <f t="shared" ref="H7:H12" si="0">INDEX(Konst_h10,MATCH(E7,NUK_h10,))*F7</f>
        <v>33</v>
      </c>
      <c r="I7" s="41"/>
      <c r="J7" s="40" t="s">
        <v>51</v>
      </c>
      <c r="K7" s="53">
        <v>1</v>
      </c>
      <c r="L7" s="45">
        <f>H7/K7</f>
        <v>33</v>
      </c>
      <c r="M7" s="142">
        <f t="shared" ref="M7:M12" si="1">SQRT(L7/3000)*100</f>
        <v>10.488088481701515</v>
      </c>
    </row>
    <row r="8" spans="1:13" x14ac:dyDescent="0.25">
      <c r="A8" s="49">
        <v>2</v>
      </c>
      <c r="B8" s="43" t="s">
        <v>119</v>
      </c>
      <c r="C8" s="39">
        <v>1</v>
      </c>
      <c r="D8" s="54">
        <v>1</v>
      </c>
      <c r="E8" s="43" t="s">
        <v>48</v>
      </c>
      <c r="F8" s="43">
        <v>20000</v>
      </c>
      <c r="G8" s="39">
        <v>0.999</v>
      </c>
      <c r="H8" s="47">
        <f t="shared" si="0"/>
        <v>900</v>
      </c>
      <c r="I8" s="43" t="s">
        <v>32</v>
      </c>
      <c r="J8" s="42">
        <v>50</v>
      </c>
      <c r="K8" s="54">
        <v>154.80000000000001</v>
      </c>
      <c r="L8" s="47">
        <f t="shared" ref="L8:L12" si="2">H8/K8</f>
        <v>5.8139534883720927</v>
      </c>
      <c r="M8" s="143">
        <f t="shared" si="1"/>
        <v>4.4022545316281194</v>
      </c>
    </row>
    <row r="9" spans="1:13" x14ac:dyDescent="0.25">
      <c r="A9" s="49">
        <v>3</v>
      </c>
      <c r="B9" s="43" t="s">
        <v>125</v>
      </c>
      <c r="C9" s="39">
        <v>5</v>
      </c>
      <c r="D9" s="54">
        <v>2</v>
      </c>
      <c r="E9" s="43" t="s">
        <v>34</v>
      </c>
      <c r="F9" s="43">
        <v>370</v>
      </c>
      <c r="G9" s="39">
        <v>1</v>
      </c>
      <c r="H9" s="47">
        <f t="shared" si="0"/>
        <v>7.992</v>
      </c>
      <c r="I9" s="43"/>
      <c r="J9" s="39" t="s">
        <v>51</v>
      </c>
      <c r="K9" s="54">
        <v>1</v>
      </c>
      <c r="L9" s="47">
        <f t="shared" si="2"/>
        <v>7.992</v>
      </c>
      <c r="M9" s="143">
        <f t="shared" si="1"/>
        <v>5.1613951602255765</v>
      </c>
    </row>
    <row r="10" spans="1:13" x14ac:dyDescent="0.25">
      <c r="A10" s="56">
        <v>4</v>
      </c>
      <c r="B10" s="57" t="s">
        <v>120</v>
      </c>
      <c r="C10" s="58">
        <v>2</v>
      </c>
      <c r="D10" s="55">
        <v>3</v>
      </c>
      <c r="E10" s="57" t="s">
        <v>33</v>
      </c>
      <c r="F10" s="57">
        <v>370</v>
      </c>
      <c r="G10" s="58">
        <v>1</v>
      </c>
      <c r="H10" s="52">
        <f t="shared" si="0"/>
        <v>61.050000000000004</v>
      </c>
      <c r="I10" s="57"/>
      <c r="J10" s="58" t="s">
        <v>51</v>
      </c>
      <c r="K10" s="54">
        <v>1</v>
      </c>
      <c r="L10" s="52">
        <f t="shared" si="2"/>
        <v>61.050000000000004</v>
      </c>
      <c r="M10" s="143">
        <f t="shared" si="1"/>
        <v>14.265342617687104</v>
      </c>
    </row>
    <row r="11" spans="1:13" x14ac:dyDescent="0.25">
      <c r="A11" s="56">
        <v>5</v>
      </c>
      <c r="B11" s="43" t="s">
        <v>126</v>
      </c>
      <c r="C11" s="58">
        <v>2</v>
      </c>
      <c r="D11" s="55">
        <v>2</v>
      </c>
      <c r="E11" s="57" t="s">
        <v>47</v>
      </c>
      <c r="F11" s="57">
        <v>120</v>
      </c>
      <c r="G11" s="58">
        <v>1</v>
      </c>
      <c r="H11" s="52">
        <f t="shared" si="0"/>
        <v>106.92</v>
      </c>
      <c r="I11" s="57"/>
      <c r="J11" s="58" t="s">
        <v>51</v>
      </c>
      <c r="K11" s="54">
        <v>1</v>
      </c>
      <c r="L11" s="52">
        <f t="shared" si="2"/>
        <v>106.92</v>
      </c>
      <c r="M11" s="143">
        <f t="shared" si="1"/>
        <v>18.878559267062727</v>
      </c>
    </row>
    <row r="12" spans="1:13" x14ac:dyDescent="0.25">
      <c r="A12" s="56">
        <v>6</v>
      </c>
      <c r="B12" s="57" t="s">
        <v>121</v>
      </c>
      <c r="C12" s="58">
        <v>3</v>
      </c>
      <c r="D12" s="55">
        <v>5</v>
      </c>
      <c r="E12" s="57" t="s">
        <v>34</v>
      </c>
      <c r="F12" s="57">
        <v>320</v>
      </c>
      <c r="G12" s="58">
        <v>1</v>
      </c>
      <c r="H12" s="52">
        <f t="shared" si="0"/>
        <v>6.9120000000000008</v>
      </c>
      <c r="I12" s="57"/>
      <c r="J12" s="58" t="s">
        <v>51</v>
      </c>
      <c r="K12" s="54">
        <v>1</v>
      </c>
      <c r="L12" s="52">
        <f t="shared" si="2"/>
        <v>6.9120000000000008</v>
      </c>
      <c r="M12" s="143">
        <f t="shared" si="1"/>
        <v>4.8</v>
      </c>
    </row>
    <row r="15" spans="1:13" x14ac:dyDescent="0.25">
      <c r="L15" t="s">
        <v>87</v>
      </c>
    </row>
    <row r="16" spans="1:13" x14ac:dyDescent="0.25">
      <c r="L16" t="s">
        <v>88</v>
      </c>
    </row>
    <row r="17" spans="12:12" x14ac:dyDescent="0.25">
      <c r="L17" t="s">
        <v>89</v>
      </c>
    </row>
  </sheetData>
  <mergeCells count="1">
    <mergeCell ref="I5:K5"/>
  </mergeCells>
  <phoneticPr fontId="14" type="noConversion"/>
  <pageMargins left="0.7" right="0.7" top="0.78740157499999996" bottom="0.78740157499999996" header="0.3" footer="0.3"/>
  <pageSetup paperSize="9" orientation="portrait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F7D12-2AD9-4C6E-851A-C18521BEBE90}">
  <dimension ref="B2:O51"/>
  <sheetViews>
    <sheetView workbookViewId="0">
      <selection activeCell="L20" sqref="L20"/>
    </sheetView>
  </sheetViews>
  <sheetFormatPr baseColWidth="10" defaultRowHeight="15" x14ac:dyDescent="0.25"/>
  <cols>
    <col min="1" max="1" width="3.7109375" customWidth="1"/>
    <col min="3" max="3" width="16" customWidth="1"/>
    <col min="4" max="4" width="7.5703125" customWidth="1"/>
    <col min="5" max="5" width="11.85546875" style="29" customWidth="1"/>
    <col min="6" max="6" width="10" style="15" customWidth="1"/>
    <col min="7" max="7" width="12.85546875" customWidth="1"/>
    <col min="9" max="9" width="10.42578125" style="1" customWidth="1"/>
    <col min="10" max="10" width="9.7109375" customWidth="1"/>
    <col min="11" max="11" width="12.140625" style="33" customWidth="1"/>
    <col min="12" max="12" width="11.42578125" style="33"/>
    <col min="13" max="13" width="15.5703125" bestFit="1" customWidth="1"/>
    <col min="14" max="15" width="11.42578125" style="33"/>
  </cols>
  <sheetData>
    <row r="2" spans="2:15" ht="26.25" x14ac:dyDescent="0.4">
      <c r="G2" s="3"/>
      <c r="H2" s="3"/>
      <c r="I2" s="21"/>
    </row>
    <row r="3" spans="2:15" s="3" customFormat="1" ht="26.25" x14ac:dyDescent="0.4">
      <c r="B3" s="3" t="s">
        <v>55</v>
      </c>
      <c r="E3" s="30"/>
      <c r="F3" s="14"/>
      <c r="I3" s="21"/>
      <c r="K3" s="35"/>
      <c r="L3" s="35"/>
      <c r="N3" s="120"/>
      <c r="O3" s="120"/>
    </row>
    <row r="4" spans="2:15" s="3" customFormat="1" ht="26.25" x14ac:dyDescent="0.4">
      <c r="E4" s="30"/>
      <c r="F4" s="14"/>
      <c r="I4" s="1"/>
      <c r="K4" s="35"/>
      <c r="L4" s="35"/>
      <c r="N4" s="120"/>
      <c r="O4" s="120"/>
    </row>
    <row r="5" spans="2:15" s="16" customFormat="1" ht="42" customHeight="1" thickBot="1" x14ac:dyDescent="0.45">
      <c r="B5" s="31" t="s">
        <v>24</v>
      </c>
      <c r="C5" s="4" t="s">
        <v>2</v>
      </c>
      <c r="D5" s="20" t="s">
        <v>50</v>
      </c>
      <c r="E5" s="4" t="s">
        <v>20</v>
      </c>
      <c r="F5" s="28" t="s">
        <v>25</v>
      </c>
      <c r="G5" s="18" t="s">
        <v>36</v>
      </c>
      <c r="H5" s="20" t="s">
        <v>76</v>
      </c>
      <c r="I5" s="31" t="s">
        <v>27</v>
      </c>
      <c r="J5" s="18" t="s">
        <v>37</v>
      </c>
      <c r="K5" s="5"/>
      <c r="M5" s="36"/>
      <c r="N5" s="36"/>
      <c r="O5" s="36"/>
    </row>
    <row r="6" spans="2:15" s="3" customFormat="1" ht="18.75" customHeight="1" x14ac:dyDescent="0.4">
      <c r="B6" s="53">
        <f>Quellen!A7</f>
        <v>1</v>
      </c>
      <c r="C6" s="48" t="str">
        <f>Quellen!B7</f>
        <v>ThPat. J-131</v>
      </c>
      <c r="D6" s="53">
        <f>Quellen!C7</f>
        <v>1</v>
      </c>
      <c r="E6" s="48" t="str">
        <f>Quellen!E7</f>
        <v>J-131+</v>
      </c>
      <c r="F6" s="44">
        <f>Quellen!F7</f>
        <v>500</v>
      </c>
      <c r="G6" s="45">
        <f>INDEX(Konst_h10,MATCH(E6,NUK_h10,))*F6</f>
        <v>33</v>
      </c>
      <c r="H6" s="69">
        <f>Quellen!G7</f>
        <v>0.999</v>
      </c>
      <c r="I6" s="72">
        <v>1</v>
      </c>
      <c r="J6" s="63">
        <f>Quellen!L7</f>
        <v>33</v>
      </c>
      <c r="K6" s="1"/>
      <c r="L6" s="207"/>
      <c r="M6" s="144"/>
      <c r="N6" s="120"/>
      <c r="O6" s="120"/>
    </row>
    <row r="7" spans="2:15" ht="17.25" customHeight="1" x14ac:dyDescent="0.25">
      <c r="D7" s="32"/>
      <c r="E7"/>
      <c r="F7" s="29"/>
      <c r="G7" s="280"/>
      <c r="H7" s="292"/>
      <c r="I7" s="292"/>
      <c r="J7" s="15"/>
      <c r="K7" s="1"/>
      <c r="M7" s="293" t="s">
        <v>86</v>
      </c>
      <c r="N7" s="293"/>
      <c r="O7"/>
    </row>
    <row r="8" spans="2:15" s="4" customFormat="1" ht="45.75" thickBot="1" x14ac:dyDescent="0.3">
      <c r="B8" s="31" t="s">
        <v>1</v>
      </c>
      <c r="C8" s="4" t="s">
        <v>5</v>
      </c>
      <c r="D8" s="20" t="s">
        <v>39</v>
      </c>
      <c r="E8" s="28" t="s">
        <v>52</v>
      </c>
      <c r="F8" s="4" t="s">
        <v>9</v>
      </c>
      <c r="G8" s="17" t="s">
        <v>10</v>
      </c>
      <c r="H8" s="70" t="s">
        <v>27</v>
      </c>
      <c r="I8" s="18" t="s">
        <v>37</v>
      </c>
      <c r="J8" s="20" t="s">
        <v>40</v>
      </c>
      <c r="K8" s="34" t="s">
        <v>53</v>
      </c>
      <c r="L8" s="34" t="s">
        <v>38</v>
      </c>
      <c r="M8" s="124" t="s">
        <v>90</v>
      </c>
      <c r="N8" s="124" t="s">
        <v>85</v>
      </c>
    </row>
    <row r="9" spans="2:15" x14ac:dyDescent="0.25">
      <c r="B9" s="19">
        <v>1</v>
      </c>
      <c r="C9" s="6" t="s">
        <v>114</v>
      </c>
      <c r="D9" s="38">
        <v>0</v>
      </c>
      <c r="E9" s="44">
        <f>IF($H$6=1,$F$6*EXP(-'NUK Daten'!$F$14*D9),$F$6)</f>
        <v>500</v>
      </c>
      <c r="F9" s="40" t="s">
        <v>51</v>
      </c>
      <c r="G9" s="38">
        <v>0</v>
      </c>
      <c r="H9" s="53">
        <f>IF(G9=0,1)</f>
        <v>1</v>
      </c>
      <c r="I9" s="45">
        <f>IF($H$6=1,($J$6*EXP(-'NUK Daten'!$F$14*D9))/H9,$J$6)</f>
        <v>33</v>
      </c>
      <c r="J9" s="38">
        <v>1200</v>
      </c>
      <c r="K9" s="50">
        <f>IF($H$6=1,(-1/'NUK Daten'!$F$9*EXP(-'NUK Daten'!$F$9*J9)+1/'NUK Daten'!$F$9*EXP(-'NUK Daten'!$F$9*0))/J9,1)</f>
        <v>1</v>
      </c>
      <c r="L9" s="50">
        <f>I9/H9*K9</f>
        <v>33</v>
      </c>
      <c r="M9" s="123">
        <f>IF(J9*$D$6&lt;8*60,L9*(J9*$D$6/(8*60)),L9)</f>
        <v>33</v>
      </c>
      <c r="N9" s="123">
        <f>IF(J9*$D$6&lt;24*60,L9*(J9*$D$6/(24*60)),L9)</f>
        <v>27.5</v>
      </c>
      <c r="O9"/>
    </row>
    <row r="10" spans="2:15" x14ac:dyDescent="0.25">
      <c r="B10" s="32">
        <v>2</v>
      </c>
      <c r="C10" t="s">
        <v>115</v>
      </c>
      <c r="D10" s="39">
        <v>0</v>
      </c>
      <c r="E10" s="46">
        <f>IF($H$6=1,$F$6*EXP(-'NUK Daten'!$F$14*D10),$F$6)</f>
        <v>500</v>
      </c>
      <c r="F10" s="42" t="s">
        <v>51</v>
      </c>
      <c r="G10" s="39">
        <v>0</v>
      </c>
      <c r="H10" s="54">
        <f>IF(G10=0,1)</f>
        <v>1</v>
      </c>
      <c r="I10" s="47">
        <f>IF($H$6=1,($J$6*EXP(-'NUK Daten'!$F$14*D10))/H10,$J$6)</f>
        <v>33</v>
      </c>
      <c r="J10" s="39">
        <v>120</v>
      </c>
      <c r="K10" s="51">
        <f>IF($H$6=1,(-1/'NUK Daten'!$F$9*EXP(-'NUK Daten'!$F$9*J10)+1/'NUK Daten'!$F$9*EXP(-'NUK Daten'!$F$9*0))/J10,1)</f>
        <v>1</v>
      </c>
      <c r="L10" s="51">
        <f>I10/H10*K10</f>
        <v>33</v>
      </c>
      <c r="M10" s="123">
        <f t="shared" ref="M10:M11" si="0">IF(J10*$D$6&lt;8*60,L10*(J10*$D$6/(8*60)),L10)</f>
        <v>8.25</v>
      </c>
      <c r="N10" s="123">
        <f t="shared" ref="N10:N11" si="1">IF(J10*$D$6&lt;24*60,L10*(J10*$D$6/(24*60)),L10)</f>
        <v>2.75</v>
      </c>
      <c r="O10"/>
    </row>
    <row r="11" spans="2:15" x14ac:dyDescent="0.25">
      <c r="B11" s="136">
        <v>3</v>
      </c>
      <c r="C11" t="s">
        <v>116</v>
      </c>
      <c r="D11" s="39">
        <v>0</v>
      </c>
      <c r="E11" s="46">
        <f>IF($H$6=1,$F$6*EXP(-'NUK Daten'!$F$14*D11),$F$6)</f>
        <v>500</v>
      </c>
      <c r="F11" s="42" t="s">
        <v>51</v>
      </c>
      <c r="G11" s="39">
        <v>0</v>
      </c>
      <c r="H11" s="54">
        <f t="shared" ref="H11" si="2">IF(G11=0,1)</f>
        <v>1</v>
      </c>
      <c r="I11" s="47">
        <f>IF($H$6=1,($J$6*EXP(-'NUK Daten'!$F$14*D11))/H11,$J$6)</f>
        <v>33</v>
      </c>
      <c r="J11" s="39">
        <v>120</v>
      </c>
      <c r="K11" s="51">
        <f>IF($H$6=1,(-1/'NUK Daten'!$F$9*EXP(-'NUK Daten'!$F$9*J11)+1/'NUK Daten'!$F$9*EXP(-'NUK Daten'!$F$9*0))/J11,1)</f>
        <v>1</v>
      </c>
      <c r="L11" s="51">
        <f t="shared" ref="L11" si="3">I11/H11*K11</f>
        <v>33</v>
      </c>
      <c r="M11" s="123">
        <f t="shared" si="0"/>
        <v>8.25</v>
      </c>
      <c r="N11" s="123">
        <f t="shared" si="1"/>
        <v>2.75</v>
      </c>
      <c r="O11"/>
    </row>
    <row r="12" spans="2:15" ht="36.75" customHeight="1" x14ac:dyDescent="0.25">
      <c r="D12" s="1"/>
    </row>
    <row r="13" spans="2:15" ht="33" thickBot="1" x14ac:dyDescent="0.45">
      <c r="B13" s="85" t="s">
        <v>24</v>
      </c>
      <c r="C13" s="4" t="s">
        <v>2</v>
      </c>
      <c r="D13" s="20" t="s">
        <v>50</v>
      </c>
      <c r="E13" s="4" t="s">
        <v>20</v>
      </c>
      <c r="F13" s="28" t="s">
        <v>25</v>
      </c>
      <c r="G13" s="18" t="s">
        <v>36</v>
      </c>
      <c r="H13" s="20" t="s">
        <v>76</v>
      </c>
      <c r="I13" s="85" t="s">
        <v>27</v>
      </c>
      <c r="J13" s="18" t="s">
        <v>37</v>
      </c>
      <c r="K13" s="85"/>
      <c r="L13" s="16"/>
      <c r="M13" s="36"/>
    </row>
    <row r="14" spans="2:15" ht="26.25" x14ac:dyDescent="0.4">
      <c r="B14" s="53">
        <f>Quellen!A8</f>
        <v>2</v>
      </c>
      <c r="C14" s="48" t="str">
        <f>Quellen!B8</f>
        <v>Tc-Generator</v>
      </c>
      <c r="D14" s="53">
        <f>Quellen!C8</f>
        <v>1</v>
      </c>
      <c r="E14" s="48" t="str">
        <f>Quellen!E8</f>
        <v>Mo-99+</v>
      </c>
      <c r="F14" s="44">
        <f>Quellen!F8</f>
        <v>20000</v>
      </c>
      <c r="G14" s="69">
        <f>INDEX(Konst_h10,MATCH(E14,NUK_h10,))*F14</f>
        <v>900</v>
      </c>
      <c r="H14" s="45">
        <f>Quellen!G8</f>
        <v>0.999</v>
      </c>
      <c r="I14" s="72">
        <f>Quellen!K8</f>
        <v>154.80000000000001</v>
      </c>
      <c r="J14" s="63">
        <f>G14/I14</f>
        <v>5.8139534883720927</v>
      </c>
      <c r="K14" s="87"/>
      <c r="L14" s="3"/>
      <c r="M14" s="86"/>
    </row>
    <row r="15" spans="2:15" x14ac:dyDescent="0.25">
      <c r="D15" s="87"/>
      <c r="E15"/>
      <c r="F15" s="29"/>
      <c r="G15" s="280"/>
      <c r="H15" s="292"/>
      <c r="I15" s="292"/>
      <c r="J15" s="15"/>
      <c r="K15" s="87"/>
      <c r="M15" s="293" t="s">
        <v>86</v>
      </c>
      <c r="N15" s="293"/>
      <c r="O15"/>
    </row>
    <row r="16" spans="2:15" ht="45.75" thickBot="1" x14ac:dyDescent="0.3">
      <c r="B16" s="85" t="s">
        <v>1</v>
      </c>
      <c r="C16" s="4" t="s">
        <v>5</v>
      </c>
      <c r="D16" s="20" t="s">
        <v>39</v>
      </c>
      <c r="E16" s="28" t="s">
        <v>52</v>
      </c>
      <c r="F16" s="4" t="s">
        <v>9</v>
      </c>
      <c r="G16" s="17" t="s">
        <v>10</v>
      </c>
      <c r="H16" s="85" t="s">
        <v>27</v>
      </c>
      <c r="I16" s="18" t="s">
        <v>37</v>
      </c>
      <c r="J16" s="20" t="s">
        <v>40</v>
      </c>
      <c r="K16" s="34" t="s">
        <v>53</v>
      </c>
      <c r="L16" s="34" t="s">
        <v>38</v>
      </c>
      <c r="M16" s="122" t="s">
        <v>90</v>
      </c>
      <c r="N16" s="122" t="s">
        <v>85</v>
      </c>
      <c r="O16"/>
    </row>
    <row r="17" spans="2:15" x14ac:dyDescent="0.25">
      <c r="B17" s="19">
        <v>1</v>
      </c>
      <c r="C17" s="6" t="s">
        <v>109</v>
      </c>
      <c r="D17" s="38">
        <v>0</v>
      </c>
      <c r="E17" s="44">
        <f>IF($H$14=1,$F$14*EXP(-'NUK Daten'!$F$17*D17),$F$14)</f>
        <v>20000</v>
      </c>
      <c r="F17" s="40" t="s">
        <v>32</v>
      </c>
      <c r="G17" s="38">
        <v>30</v>
      </c>
      <c r="H17" s="53">
        <v>25.6</v>
      </c>
      <c r="I17" s="45">
        <f>J14/H17</f>
        <v>0.22710755813953487</v>
      </c>
      <c r="J17" s="38">
        <v>1260</v>
      </c>
      <c r="K17" s="50">
        <f>IF($H$14=1,(-1/'NUK Daten'!$F$17*EXP(-'NUK Daten'!$F$17*J17)+1/'NUK Daten'!$F$17*EXP(-'NUK Daten'!$F$17*0))/J17,1)</f>
        <v>1</v>
      </c>
      <c r="L17" s="50">
        <f>I17/H17*K17</f>
        <v>8.87138898982558E-3</v>
      </c>
      <c r="M17" s="125">
        <f>IF(J17*D14&lt;8*60,L17*(J17*$D$14/(8*60)),L17)</f>
        <v>8.87138898982558E-3</v>
      </c>
      <c r="N17" s="125">
        <f>IF(J17*D14&lt;24*60,L17*(J17*D14/(24*60)),L17)</f>
        <v>7.762465366097383E-3</v>
      </c>
      <c r="O17"/>
    </row>
    <row r="18" spans="2:15" ht="37.5" customHeight="1" x14ac:dyDescent="0.25">
      <c r="D18" s="1"/>
    </row>
    <row r="19" spans="2:15" ht="33" thickBot="1" x14ac:dyDescent="0.45">
      <c r="B19" s="145" t="s">
        <v>24</v>
      </c>
      <c r="C19" s="4" t="s">
        <v>2</v>
      </c>
      <c r="D19" s="20" t="s">
        <v>50</v>
      </c>
      <c r="E19" s="4" t="s">
        <v>20</v>
      </c>
      <c r="F19" s="28" t="s">
        <v>25</v>
      </c>
      <c r="G19" s="18" t="s">
        <v>36</v>
      </c>
      <c r="H19" s="20" t="s">
        <v>76</v>
      </c>
      <c r="I19" s="145" t="s">
        <v>27</v>
      </c>
      <c r="J19" s="18" t="s">
        <v>37</v>
      </c>
      <c r="K19" s="145"/>
      <c r="L19" s="16"/>
      <c r="M19" s="36"/>
      <c r="N19" s="36"/>
      <c r="O19" s="36"/>
    </row>
    <row r="20" spans="2:15" ht="26.25" x14ac:dyDescent="0.4">
      <c r="B20" s="53">
        <v>3</v>
      </c>
      <c r="C20" s="48" t="str">
        <f>Quellen!B9</f>
        <v>Patient Tc-99m</v>
      </c>
      <c r="D20" s="53">
        <f>Quellen!C9</f>
        <v>5</v>
      </c>
      <c r="E20" s="48" t="str">
        <f>Quellen!E9</f>
        <v>Tc-99m</v>
      </c>
      <c r="F20" s="44">
        <f>Quellen!F9</f>
        <v>370</v>
      </c>
      <c r="G20" s="45">
        <f>INDEX(Konst_h10,MATCH(E20,NUK_h10,))*F20</f>
        <v>7.992</v>
      </c>
      <c r="H20" s="69">
        <f>Quellen!G9</f>
        <v>1</v>
      </c>
      <c r="I20" s="72">
        <v>1</v>
      </c>
      <c r="J20" s="63">
        <f>G20/I20</f>
        <v>7.992</v>
      </c>
      <c r="K20" s="147"/>
      <c r="L20" s="207"/>
      <c r="M20" s="144"/>
      <c r="N20" s="146"/>
      <c r="O20" s="146"/>
    </row>
    <row r="21" spans="2:15" x14ac:dyDescent="0.25">
      <c r="D21" s="147"/>
      <c r="E21"/>
      <c r="F21" s="29"/>
      <c r="G21" s="280"/>
      <c r="H21" s="292"/>
      <c r="I21" s="292"/>
      <c r="J21" s="15"/>
      <c r="K21" s="147"/>
      <c r="M21" s="293" t="s">
        <v>86</v>
      </c>
      <c r="N21" s="293"/>
      <c r="O21"/>
    </row>
    <row r="22" spans="2:15" ht="45.75" thickBot="1" x14ac:dyDescent="0.3">
      <c r="B22" s="145" t="s">
        <v>1</v>
      </c>
      <c r="C22" s="4" t="s">
        <v>5</v>
      </c>
      <c r="D22" s="20" t="s">
        <v>39</v>
      </c>
      <c r="E22" s="28" t="s">
        <v>52</v>
      </c>
      <c r="F22" s="4" t="s">
        <v>9</v>
      </c>
      <c r="G22" s="17" t="s">
        <v>10</v>
      </c>
      <c r="H22" s="145" t="s">
        <v>27</v>
      </c>
      <c r="I22" s="18" t="s">
        <v>37</v>
      </c>
      <c r="J22" s="20" t="s">
        <v>40</v>
      </c>
      <c r="K22" s="156" t="s">
        <v>53</v>
      </c>
      <c r="L22" s="34" t="s">
        <v>38</v>
      </c>
      <c r="M22" s="124" t="s">
        <v>90</v>
      </c>
      <c r="N22" s="124" t="s">
        <v>85</v>
      </c>
      <c r="O22"/>
    </row>
    <row r="23" spans="2:15" x14ac:dyDescent="0.25">
      <c r="B23" s="19">
        <v>1</v>
      </c>
      <c r="C23" s="6" t="s">
        <v>110</v>
      </c>
      <c r="D23" s="38">
        <v>0</v>
      </c>
      <c r="E23" s="44">
        <f>IF($H$20=1,$F$20*EXP(-'NUK Daten'!$F$18*D23),$F$20)</f>
        <v>370</v>
      </c>
      <c r="F23" s="40" t="s">
        <v>51</v>
      </c>
      <c r="G23" s="38">
        <v>0</v>
      </c>
      <c r="H23" s="53">
        <f>IF(G23=0,1)</f>
        <v>1</v>
      </c>
      <c r="I23" s="45">
        <f>IF($H$20=1,($J$20*EXP(-'NUK Daten'!$F$18*D23))/H23,$J$20)</f>
        <v>7.992</v>
      </c>
      <c r="J23" s="38">
        <v>5</v>
      </c>
      <c r="K23" s="51">
        <f>IF($H$20=1,(-1/'NUK Daten'!$F$18*EXP(-'NUK Daten'!$F$18*J23)+1/'NUK Daten'!$F$18*EXP(-'NUK Daten'!$F$18*0))/J23,1)</f>
        <v>0.9952177771420111</v>
      </c>
      <c r="L23" s="50">
        <f>I23/H23*K23</f>
        <v>7.9537804749189522</v>
      </c>
      <c r="M23" s="123">
        <f>IF(J23*$D$20&lt;8*60,L23*(J23*$D$20/(8*60)),L23)</f>
        <v>0.41425939973536213</v>
      </c>
      <c r="N23" s="123">
        <f>IF(J23*$D$20&lt;24*60,L23*(J23*$D$20/(24*60)),L23)</f>
        <v>0.13808646657845403</v>
      </c>
      <c r="O23"/>
    </row>
    <row r="24" spans="2:15" x14ac:dyDescent="0.25">
      <c r="B24" s="147">
        <v>2</v>
      </c>
      <c r="C24" t="s">
        <v>111</v>
      </c>
      <c r="D24" s="39">
        <v>5</v>
      </c>
      <c r="E24" s="46">
        <f>IF($H$20=1,$F$20*EXP(-'NUK Daten'!$F$18*D24),$F$20)</f>
        <v>366.46680527935251</v>
      </c>
      <c r="F24" s="42" t="s">
        <v>51</v>
      </c>
      <c r="G24" s="39">
        <v>0</v>
      </c>
      <c r="H24" s="54">
        <f>IF(G24=0,1)</f>
        <v>1</v>
      </c>
      <c r="I24" s="47">
        <f>IF($H$20=1,($J$20*EXP(-'NUK Daten'!$F$18*D24))/H24,$J$20)</f>
        <v>7.9156829940340145</v>
      </c>
      <c r="J24" s="39">
        <v>60</v>
      </c>
      <c r="K24" s="51">
        <f>IF($H$20=1,(-1/'NUK Daten'!$F$18*EXP(-'NUK Daten'!$F$18*J24)+1/'NUK Daten'!$F$18*EXP(-'NUK Daten'!$F$18*0))/J24,1)</f>
        <v>0.94457703497871059</v>
      </c>
      <c r="L24" s="51">
        <f>I24/H24*K24</f>
        <v>7.4769723723360517</v>
      </c>
      <c r="M24" s="123">
        <f>IF(J24*$D$20&lt;8*60,L24*(J24*$D$20/(8*60)),L24)</f>
        <v>4.6731077327100321</v>
      </c>
      <c r="N24" s="123">
        <f>IF(J24*$D$20&lt;24*60,L24*(J24*$D$20/(24*60)),L24)</f>
        <v>1.5577025775700108</v>
      </c>
      <c r="O24"/>
    </row>
    <row r="26" spans="2:15" ht="33" thickBot="1" x14ac:dyDescent="0.45">
      <c r="B26" s="148" t="s">
        <v>24</v>
      </c>
      <c r="C26" s="4" t="s">
        <v>2</v>
      </c>
      <c r="D26" s="20" t="s">
        <v>50</v>
      </c>
      <c r="E26" s="4" t="s">
        <v>20</v>
      </c>
      <c r="F26" s="28" t="s">
        <v>25</v>
      </c>
      <c r="G26" s="18" t="s">
        <v>36</v>
      </c>
      <c r="H26" s="20" t="s">
        <v>76</v>
      </c>
      <c r="I26" s="148" t="s">
        <v>27</v>
      </c>
      <c r="J26" s="18" t="s">
        <v>37</v>
      </c>
      <c r="K26" s="148"/>
      <c r="L26" s="16"/>
      <c r="M26" s="36"/>
      <c r="N26" s="36"/>
    </row>
    <row r="27" spans="2:15" ht="26.25" x14ac:dyDescent="0.4">
      <c r="B27" s="53">
        <v>4</v>
      </c>
      <c r="C27" s="48" t="str">
        <f>Quellen!B10</f>
        <v>Patient F-18</v>
      </c>
      <c r="D27" s="53">
        <f>Quellen!C10</f>
        <v>2</v>
      </c>
      <c r="E27" s="48" t="str">
        <f>Quellen!E10</f>
        <v>F-18</v>
      </c>
      <c r="F27" s="44">
        <f>Quellen!F10</f>
        <v>370</v>
      </c>
      <c r="G27" s="45">
        <f>INDEX(Konst_h10,MATCH(E27,NUK_h10,))*F27</f>
        <v>61.050000000000004</v>
      </c>
      <c r="H27" s="69">
        <f>Quellen!G10</f>
        <v>1</v>
      </c>
      <c r="I27" s="72">
        <f>Quellen!K10</f>
        <v>1</v>
      </c>
      <c r="J27" s="63">
        <f>G27/I27</f>
        <v>61.050000000000004</v>
      </c>
      <c r="K27" s="150"/>
      <c r="L27" s="207"/>
      <c r="M27" s="144"/>
      <c r="N27" s="149"/>
    </row>
    <row r="28" spans="2:15" x14ac:dyDescent="0.25">
      <c r="D28" s="150"/>
      <c r="E28"/>
      <c r="F28" s="29"/>
      <c r="G28" s="280"/>
      <c r="H28" s="292"/>
      <c r="I28" s="292"/>
      <c r="J28" s="15"/>
      <c r="K28" s="150"/>
      <c r="M28" s="293" t="s">
        <v>86</v>
      </c>
      <c r="N28" s="293"/>
    </row>
    <row r="29" spans="2:15" ht="45.75" thickBot="1" x14ac:dyDescent="0.3">
      <c r="B29" s="148" t="s">
        <v>1</v>
      </c>
      <c r="C29" s="4" t="s">
        <v>5</v>
      </c>
      <c r="D29" s="20" t="s">
        <v>39</v>
      </c>
      <c r="E29" s="28" t="s">
        <v>52</v>
      </c>
      <c r="F29" s="4" t="s">
        <v>9</v>
      </c>
      <c r="G29" s="17" t="s">
        <v>10</v>
      </c>
      <c r="H29" s="148" t="s">
        <v>27</v>
      </c>
      <c r="I29" s="18" t="s">
        <v>37</v>
      </c>
      <c r="J29" s="20" t="s">
        <v>40</v>
      </c>
      <c r="K29" s="156" t="s">
        <v>53</v>
      </c>
      <c r="L29" s="34" t="s">
        <v>38</v>
      </c>
      <c r="M29" s="124" t="s">
        <v>90</v>
      </c>
      <c r="N29" s="124" t="s">
        <v>85</v>
      </c>
    </row>
    <row r="30" spans="2:15" x14ac:dyDescent="0.25">
      <c r="B30" s="19">
        <v>1</v>
      </c>
      <c r="C30" s="6" t="s">
        <v>110</v>
      </c>
      <c r="D30" s="38">
        <v>0</v>
      </c>
      <c r="E30" s="44">
        <f>IF($H$27=1,$F$27*EXP(-'NUK Daten'!$F$9*D30),$F$27)</f>
        <v>370</v>
      </c>
      <c r="F30" s="40" t="s">
        <v>51</v>
      </c>
      <c r="G30" s="38">
        <v>0</v>
      </c>
      <c r="H30" s="53">
        <f>IF(G30=0,1)</f>
        <v>1</v>
      </c>
      <c r="I30" s="50">
        <f>IF($H$27=1,($J$27*EXP(-'NUK Daten'!$F$9*D30))/H30,$J$27)</f>
        <v>61.050000000000004</v>
      </c>
      <c r="J30" s="38">
        <v>5</v>
      </c>
      <c r="K30" s="51">
        <f>IF($H$27=1,(-1/'NUK Daten'!$F$9*EXP(-'NUK Daten'!$F$9*J30)+1/'NUK Daten'!$F$9*EXP(-'NUK Daten'!$F$9*0))/J30,1)</f>
        <v>0.98437848331986399</v>
      </c>
      <c r="L30" s="50">
        <f>I30/H30*K30</f>
        <v>60.096306406677698</v>
      </c>
      <c r="M30" s="123">
        <f>IF(J30*$D$27&lt;8*60,L30*(J30*$D$27/(8*60)),L30)</f>
        <v>1.252006383472452</v>
      </c>
      <c r="N30" s="123">
        <f>IF(J30*$D$27&lt;24*60,L30*(J30*$D$27/(24*60)),L30)</f>
        <v>0.41733546115748399</v>
      </c>
    </row>
    <row r="31" spans="2:15" x14ac:dyDescent="0.25">
      <c r="B31" s="150">
        <v>2</v>
      </c>
      <c r="C31" t="s">
        <v>123</v>
      </c>
      <c r="D31" s="39">
        <v>0</v>
      </c>
      <c r="E31" s="46">
        <f>IF($H$27=1,$F$27*EXP(-'NUK Daten'!$F$9*D31),$F$27)</f>
        <v>370</v>
      </c>
      <c r="F31" s="42" t="s">
        <v>51</v>
      </c>
      <c r="G31" s="39">
        <v>0</v>
      </c>
      <c r="H31" s="54">
        <f>IF(G31=0,1)</f>
        <v>1</v>
      </c>
      <c r="I31" s="51">
        <f>IF($H$27=1,($J$27*EXP(-'NUK Daten'!$F$9*D31))/H31,$J$27)</f>
        <v>61.050000000000004</v>
      </c>
      <c r="J31" s="39">
        <v>30</v>
      </c>
      <c r="K31" s="51">
        <f>IF($H$27=1,(-1/'NUK Daten'!$F$9*EXP(-'NUK Daten'!$F$9*J31)+1/'NUK Daten'!$F$9*EXP(-'NUK Daten'!$F$9*0))/J31,1)</f>
        <v>0.91099004408875528</v>
      </c>
      <c r="L31" s="51">
        <f>I31/H31*K31</f>
        <v>55.615942191618515</v>
      </c>
      <c r="M31" s="123">
        <f t="shared" ref="M31:M32" si="4">IF(J31*$D$27&lt;8*60,L31*(J31*$D$27/(8*60)),L31)</f>
        <v>6.9519927739523144</v>
      </c>
      <c r="N31" s="123">
        <f t="shared" ref="N31:N32" si="5">IF(J31*$D$27&lt;24*60,L31*(J31*$D$27/(24*60)),L31)</f>
        <v>2.3173309246507712</v>
      </c>
    </row>
    <row r="32" spans="2:15" x14ac:dyDescent="0.25">
      <c r="B32" s="150">
        <v>3</v>
      </c>
      <c r="C32" t="s">
        <v>117</v>
      </c>
      <c r="D32" s="58">
        <v>0</v>
      </c>
      <c r="E32" s="106">
        <f>IF($H$27=1,$F$27*EXP(-'NUK Daten'!$F$9*D32),$F$27)</f>
        <v>370</v>
      </c>
      <c r="F32" s="157" t="s">
        <v>51</v>
      </c>
      <c r="G32" s="58">
        <v>0</v>
      </c>
      <c r="H32" s="55">
        <f>IF(G32=0,1)</f>
        <v>1</v>
      </c>
      <c r="I32" s="107">
        <f>IF($H$27=1,($J$27*EXP(-'NUK Daten'!$F$9*D32))/H32,$J$27)</f>
        <v>61.050000000000004</v>
      </c>
      <c r="J32" s="58">
        <v>30</v>
      </c>
      <c r="K32" s="107">
        <f>IF($H$27=1,(-1/'NUK Daten'!$F$9*EXP(-'NUK Daten'!$F$9*J32)+1/'NUK Daten'!$F$9*EXP(-'NUK Daten'!$F$9*0))/J32,1)</f>
        <v>0.91099004408875528</v>
      </c>
      <c r="L32" s="107">
        <f>I32/H32*K32</f>
        <v>55.615942191618515</v>
      </c>
      <c r="M32" s="158">
        <f t="shared" si="4"/>
        <v>6.9519927739523144</v>
      </c>
      <c r="N32" s="123">
        <f t="shared" si="5"/>
        <v>2.3173309246507712</v>
      </c>
    </row>
    <row r="35" spans="2:14" ht="33" thickBot="1" x14ac:dyDescent="0.45">
      <c r="B35" s="153" t="s">
        <v>24</v>
      </c>
      <c r="C35" s="4" t="s">
        <v>2</v>
      </c>
      <c r="D35" s="20" t="s">
        <v>50</v>
      </c>
      <c r="E35" s="4" t="s">
        <v>20</v>
      </c>
      <c r="F35" s="28" t="s">
        <v>25</v>
      </c>
      <c r="G35" s="18" t="s">
        <v>36</v>
      </c>
      <c r="H35" s="20" t="s">
        <v>76</v>
      </c>
      <c r="I35" s="153" t="s">
        <v>27</v>
      </c>
      <c r="J35" s="18" t="s">
        <v>37</v>
      </c>
      <c r="K35" s="153"/>
      <c r="L35" s="16"/>
      <c r="M35" s="36"/>
      <c r="N35" s="36"/>
    </row>
    <row r="36" spans="2:14" ht="26.25" x14ac:dyDescent="0.4">
      <c r="B36" s="53">
        <v>5</v>
      </c>
      <c r="C36" s="48" t="str">
        <f>Quellen!B11</f>
        <v>Patient In-111</v>
      </c>
      <c r="D36" s="53">
        <f>Quellen!C11</f>
        <v>2</v>
      </c>
      <c r="E36" s="48" t="str">
        <f>Quellen!E11</f>
        <v>In-111+</v>
      </c>
      <c r="F36" s="44">
        <v>120</v>
      </c>
      <c r="G36" s="45">
        <f>INDEX(Konst_h10,MATCH(E36,NUK_h10,))*F36</f>
        <v>106.92</v>
      </c>
      <c r="H36" s="69">
        <f>Quellen!G11</f>
        <v>1</v>
      </c>
      <c r="I36" s="72">
        <f>Quellen!K11</f>
        <v>1</v>
      </c>
      <c r="J36" s="63">
        <f>G36/I36</f>
        <v>106.92</v>
      </c>
      <c r="K36" s="155"/>
      <c r="L36" s="207"/>
      <c r="M36" s="144"/>
      <c r="N36" s="154"/>
    </row>
    <row r="37" spans="2:14" x14ac:dyDescent="0.25">
      <c r="D37" s="155"/>
      <c r="E37"/>
      <c r="F37" s="29"/>
      <c r="G37" s="280"/>
      <c r="H37" s="292"/>
      <c r="I37" s="292"/>
      <c r="J37" s="15"/>
      <c r="K37" s="155"/>
      <c r="M37" s="293" t="s">
        <v>86</v>
      </c>
      <c r="N37" s="293"/>
    </row>
    <row r="38" spans="2:14" ht="45.75" thickBot="1" x14ac:dyDescent="0.3">
      <c r="B38" s="153" t="s">
        <v>1</v>
      </c>
      <c r="C38" s="4" t="s">
        <v>5</v>
      </c>
      <c r="D38" s="20" t="s">
        <v>39</v>
      </c>
      <c r="E38" s="28" t="s">
        <v>52</v>
      </c>
      <c r="F38" s="4" t="s">
        <v>9</v>
      </c>
      <c r="G38" s="17" t="s">
        <v>10</v>
      </c>
      <c r="H38" s="153" t="s">
        <v>27</v>
      </c>
      <c r="I38" s="18" t="s">
        <v>37</v>
      </c>
      <c r="J38" s="20" t="s">
        <v>40</v>
      </c>
      <c r="K38" s="156" t="s">
        <v>53</v>
      </c>
      <c r="L38" s="34" t="s">
        <v>38</v>
      </c>
      <c r="M38" s="124" t="s">
        <v>90</v>
      </c>
      <c r="N38" s="124" t="s">
        <v>85</v>
      </c>
    </row>
    <row r="39" spans="2:14" x14ac:dyDescent="0.25">
      <c r="B39" s="19">
        <v>1</v>
      </c>
      <c r="C39" s="6" t="s">
        <v>110</v>
      </c>
      <c r="D39" s="38">
        <v>0</v>
      </c>
      <c r="E39" s="44">
        <f>IF($H$36=1,$F$36*EXP(-'NUK Daten'!$F$16*D39),$F$36)</f>
        <v>120</v>
      </c>
      <c r="F39" s="40" t="s">
        <v>51</v>
      </c>
      <c r="G39" s="38">
        <v>0</v>
      </c>
      <c r="H39" s="53">
        <f>IF(G39=0,1)</f>
        <v>1</v>
      </c>
      <c r="I39" s="45">
        <f>IF($H$36=1,($J$36*EXP(-'NUK Daten'!$F$18*D39))/H39,$J$36)</f>
        <v>106.92</v>
      </c>
      <c r="J39" s="38">
        <v>5</v>
      </c>
      <c r="K39" s="51">
        <f>IF($H$36=1,(-1/'NUK Daten'!$F$16*EXP(-'NUK Daten'!$F$16*J39)+1/'NUK Daten'!$F$16*EXP(-'NUK Daten'!$F$16*0))/J39,1)</f>
        <v>0.99957489771804831</v>
      </c>
      <c r="L39" s="50">
        <f>I39/H39*K39</f>
        <v>106.87454806401372</v>
      </c>
      <c r="M39" s="123">
        <f>IF(J39*$D$36&lt;8*60,L39*(J39*$D$36/(8*60)),L39)</f>
        <v>2.2265530846669526</v>
      </c>
      <c r="N39" s="123">
        <f>IF(J39*$D$36&lt;24*60,L39*(J39*$D$36/(24*60)),L39)</f>
        <v>0.74218436155565082</v>
      </c>
    </row>
    <row r="40" spans="2:14" x14ac:dyDescent="0.25">
      <c r="B40" s="155">
        <v>2</v>
      </c>
      <c r="C40" t="s">
        <v>124</v>
      </c>
      <c r="D40" s="39">
        <v>0</v>
      </c>
      <c r="E40" s="46">
        <f>IF($H$36=1,$F$36*EXP(-'NUK Daten'!$F$16*D40),$F$36)</f>
        <v>120</v>
      </c>
      <c r="F40" s="42" t="s">
        <v>51</v>
      </c>
      <c r="G40" s="39">
        <v>0</v>
      </c>
      <c r="H40" s="54">
        <f>IF(G40=0,1)</f>
        <v>1</v>
      </c>
      <c r="I40" s="47">
        <f>IF($H$36=1,($J$36*EXP(-'NUK Daten'!$F$18*D40))/H40,$J$36)</f>
        <v>106.92</v>
      </c>
      <c r="J40" s="39">
        <v>30</v>
      </c>
      <c r="K40" s="51">
        <f>IF($H$36=1,(-1/'NUK Daten'!$F$16*EXP(-'NUK Daten'!$F$16*J40)+1/'NUK Daten'!$F$16*EXP(-'NUK Daten'!$F$16*0))/J40,1)</f>
        <v>0.99745299722077718</v>
      </c>
      <c r="L40" s="51">
        <f>I40/H40*K40</f>
        <v>106.6476744628455</v>
      </c>
      <c r="M40" s="123">
        <f>IF(J40*$D$36&lt;8*60,L40*(J40*$D$36/(8*60)),L40)</f>
        <v>13.330959307855688</v>
      </c>
      <c r="N40" s="123">
        <f>IF(J40*$D$36&lt;24*60,L40*(J40*$D$36/(24*60)),L40)</f>
        <v>4.4436531026185619</v>
      </c>
    </row>
    <row r="43" spans="2:14" ht="33" thickBot="1" x14ac:dyDescent="0.45">
      <c r="B43" s="153" t="s">
        <v>24</v>
      </c>
      <c r="C43" s="4" t="s">
        <v>2</v>
      </c>
      <c r="D43" s="20" t="s">
        <v>50</v>
      </c>
      <c r="E43" s="4" t="s">
        <v>20</v>
      </c>
      <c r="F43" s="28" t="s">
        <v>25</v>
      </c>
      <c r="G43" s="18" t="s">
        <v>36</v>
      </c>
      <c r="H43" s="20" t="s">
        <v>76</v>
      </c>
      <c r="I43" s="153" t="s">
        <v>27</v>
      </c>
      <c r="J43" s="18" t="s">
        <v>37</v>
      </c>
      <c r="K43" s="153"/>
      <c r="L43" s="16"/>
      <c r="M43" s="36"/>
      <c r="N43" s="36"/>
    </row>
    <row r="44" spans="2:14" ht="26.25" x14ac:dyDescent="0.4">
      <c r="B44" s="53">
        <v>6</v>
      </c>
      <c r="C44" s="48" t="str">
        <f>Quellen!B12</f>
        <v>Tc-99m 2</v>
      </c>
      <c r="D44" s="53">
        <f>Quellen!C12</f>
        <v>3</v>
      </c>
      <c r="E44" s="48" t="str">
        <f>Quellen!E12</f>
        <v>Tc-99m</v>
      </c>
      <c r="F44" s="44">
        <f>Quellen!F12</f>
        <v>320</v>
      </c>
      <c r="G44" s="45">
        <f>INDEX(Konst_h10,MATCH(E44,NUK_h10,))*F44</f>
        <v>6.9120000000000008</v>
      </c>
      <c r="H44" s="69">
        <f>Quellen!G12</f>
        <v>1</v>
      </c>
      <c r="I44" s="72">
        <f>Quellen!K12</f>
        <v>1</v>
      </c>
      <c r="J44" s="63">
        <f>G44/I44</f>
        <v>6.9120000000000008</v>
      </c>
      <c r="K44" s="155"/>
      <c r="L44" s="207"/>
      <c r="M44" s="144"/>
      <c r="N44" s="154"/>
    </row>
    <row r="45" spans="2:14" x14ac:dyDescent="0.25">
      <c r="D45" s="155"/>
      <c r="E45"/>
      <c r="F45" s="29"/>
      <c r="G45" s="280"/>
      <c r="H45" s="292"/>
      <c r="I45" s="292"/>
      <c r="J45" s="15"/>
      <c r="K45" s="155"/>
      <c r="M45" s="293" t="s">
        <v>86</v>
      </c>
      <c r="N45" s="293"/>
    </row>
    <row r="46" spans="2:14" ht="45.75" thickBot="1" x14ac:dyDescent="0.3">
      <c r="B46" s="153" t="s">
        <v>1</v>
      </c>
      <c r="C46" s="4" t="s">
        <v>5</v>
      </c>
      <c r="D46" s="20" t="s">
        <v>39</v>
      </c>
      <c r="E46" s="28" t="s">
        <v>52</v>
      </c>
      <c r="F46" s="4" t="s">
        <v>9</v>
      </c>
      <c r="G46" s="17" t="s">
        <v>10</v>
      </c>
      <c r="H46" s="153" t="s">
        <v>27</v>
      </c>
      <c r="I46" s="18" t="s">
        <v>37</v>
      </c>
      <c r="J46" s="20" t="s">
        <v>40</v>
      </c>
      <c r="K46" s="156" t="s">
        <v>53</v>
      </c>
      <c r="L46" s="34" t="s">
        <v>38</v>
      </c>
      <c r="M46" s="124" t="s">
        <v>90</v>
      </c>
      <c r="N46" s="124" t="s">
        <v>85</v>
      </c>
    </row>
    <row r="47" spans="2:14" x14ac:dyDescent="0.25">
      <c r="B47" s="19">
        <v>1</v>
      </c>
      <c r="C47" s="6" t="s">
        <v>110</v>
      </c>
      <c r="D47" s="38">
        <v>0</v>
      </c>
      <c r="E47" s="44">
        <f>IF($H$44=1,$F$44*EXP(-'NUK Daten'!$F$18*D47),$F$44)</f>
        <v>320</v>
      </c>
      <c r="F47" s="40" t="s">
        <v>51</v>
      </c>
      <c r="G47" s="38">
        <v>0</v>
      </c>
      <c r="H47" s="53">
        <f>IF(G47=0,1)</f>
        <v>1</v>
      </c>
      <c r="I47" s="50">
        <f>IF($H$44=1,($J$44*EXP(-'NUK Daten'!$F$18*D47))/H47,$J$44)</f>
        <v>6.9120000000000008</v>
      </c>
      <c r="J47" s="38">
        <v>5</v>
      </c>
      <c r="K47" s="51">
        <f>IF($H$44=1,(-1/'NUK Daten'!$F$18*EXP(-'NUK Daten'!$F$18*J47)+1/'NUK Daten'!$F$18*EXP(-'NUK Daten'!$F$18*0))/J47,1)</f>
        <v>0.9952177771420111</v>
      </c>
      <c r="L47" s="50">
        <f>I47/H47*K47</f>
        <v>6.8789452756055818</v>
      </c>
      <c r="M47" s="123">
        <f>IF(J47*$D$44&lt;8*60,L47*(J47*$D$44/(8*60)),L47)</f>
        <v>0.21496703986267443</v>
      </c>
      <c r="N47" s="123">
        <f>IF(J47*$D$44&lt;24*60,L47*(J47*$D$44/(24*60)),L47)</f>
        <v>7.165567995422481E-2</v>
      </c>
    </row>
    <row r="48" spans="2:14" x14ac:dyDescent="0.25">
      <c r="B48" s="155">
        <v>2</v>
      </c>
      <c r="C48" t="s">
        <v>111</v>
      </c>
      <c r="D48" s="39">
        <v>0</v>
      </c>
      <c r="E48" s="46">
        <f>IF($H$44=1,$F$44*EXP(-'NUK Daten'!$F$18*D48),$F$44)</f>
        <v>320</v>
      </c>
      <c r="F48" s="42" t="s">
        <v>51</v>
      </c>
      <c r="G48" s="39">
        <v>0</v>
      </c>
      <c r="H48" s="54">
        <f t="shared" ref="H48:H51" si="6">IF(G48=0,1)</f>
        <v>1</v>
      </c>
      <c r="I48" s="51">
        <f>IF($H$44=1,($J$44*EXP(-'NUK Daten'!$F$18*D48))/H48,$J$44)</f>
        <v>6.9120000000000008</v>
      </c>
      <c r="J48" s="39">
        <v>30</v>
      </c>
      <c r="K48" s="51">
        <f>IF($H$44=1,(-1/'NUK Daten'!$F$18*EXP(-'NUK Daten'!$F$18*J48)+1/'NUK Daten'!$F$18*EXP(-'NUK Daten'!$F$18*0))/J48,1)</f>
        <v>0.97175934954506338</v>
      </c>
      <c r="L48" s="51">
        <f t="shared" ref="L48:L51" si="7">I48/H48*K48</f>
        <v>6.7168006240554785</v>
      </c>
      <c r="M48" s="123">
        <f t="shared" ref="M48:M51" si="8">IF(J48*$D$44&lt;8*60,L48*(J48*$D$44/(8*60)),L48)</f>
        <v>1.2594001170104021</v>
      </c>
      <c r="N48" s="123">
        <f t="shared" ref="N48:N51" si="9">IF(J48*$D$44&lt;24*60,L48*(J48*$D$44/(24*60)),L48)</f>
        <v>0.41980003900346741</v>
      </c>
    </row>
    <row r="49" spans="2:14" x14ac:dyDescent="0.25">
      <c r="B49" s="155">
        <v>3</v>
      </c>
      <c r="C49" t="s">
        <v>123</v>
      </c>
      <c r="D49" s="58">
        <v>0</v>
      </c>
      <c r="E49" s="106">
        <f>IF($H$44=1,$F$44*EXP(-'NUK Daten'!$F$18*D49),$F$44)</f>
        <v>320</v>
      </c>
      <c r="F49" s="157" t="s">
        <v>51</v>
      </c>
      <c r="G49" s="58">
        <v>0</v>
      </c>
      <c r="H49" s="55">
        <f t="shared" si="6"/>
        <v>1</v>
      </c>
      <c r="I49" s="107">
        <f>IF($H$44=1,($J$44*EXP(-'NUK Daten'!$F$18*D49))/H49,$J$44)</f>
        <v>6.9120000000000008</v>
      </c>
      <c r="J49" s="58">
        <v>30</v>
      </c>
      <c r="K49" s="107">
        <f>IF($H$44=1,(-1/'NUK Daten'!$F$18*EXP(-'NUK Daten'!$F$18*J49)+1/'NUK Daten'!$F$18*EXP(-'NUK Daten'!$F$18*0))/J49,1)</f>
        <v>0.97175934954506338</v>
      </c>
      <c r="L49" s="107">
        <f t="shared" si="7"/>
        <v>6.7168006240554785</v>
      </c>
      <c r="M49" s="158">
        <f t="shared" si="8"/>
        <v>1.2594001170104021</v>
      </c>
      <c r="N49" s="123">
        <f t="shared" si="9"/>
        <v>0.41980003900346741</v>
      </c>
    </row>
    <row r="50" spans="2:14" x14ac:dyDescent="0.25">
      <c r="B50" s="155">
        <v>4</v>
      </c>
      <c r="C50" t="s">
        <v>113</v>
      </c>
      <c r="D50" s="58">
        <v>0</v>
      </c>
      <c r="E50" s="29">
        <f>IF($H$44=1,$F$44*EXP(-'NUK Daten'!$F$18*D50),$F$44)</f>
        <v>320</v>
      </c>
      <c r="F50" s="33" t="s">
        <v>51</v>
      </c>
      <c r="G50" s="155">
        <v>0</v>
      </c>
      <c r="H50" s="155">
        <f t="shared" si="6"/>
        <v>1</v>
      </c>
      <c r="I50" s="33">
        <f>IF($H$44=1,($J$44*EXP(-'NUK Daten'!$F$18*D50))/H50,$J$44)</f>
        <v>6.9120000000000008</v>
      </c>
      <c r="J50" s="58">
        <v>30</v>
      </c>
      <c r="K50" s="33">
        <f>IF($H$44=1,(-1/'NUK Daten'!$F$18*EXP(-'NUK Daten'!$F$18*J50)+1/'NUK Daten'!$F$18*EXP(-'NUK Daten'!$F$18*0))/J50,1)</f>
        <v>0.97175934954506338</v>
      </c>
      <c r="L50" s="33">
        <f t="shared" si="7"/>
        <v>6.7168006240554785</v>
      </c>
      <c r="M50" s="15">
        <f t="shared" si="8"/>
        <v>1.2594001170104021</v>
      </c>
      <c r="N50" s="33">
        <f t="shared" si="9"/>
        <v>0.41980003900346741</v>
      </c>
    </row>
    <row r="51" spans="2:14" x14ac:dyDescent="0.25">
      <c r="B51" s="155">
        <v>5</v>
      </c>
      <c r="C51" t="s">
        <v>117</v>
      </c>
      <c r="D51" s="58">
        <v>0</v>
      </c>
      <c r="E51" s="29">
        <f>IF($H$44=1,$F$44*EXP(-'NUK Daten'!$F$18*D51),$F$44)</f>
        <v>320</v>
      </c>
      <c r="F51" s="33" t="s">
        <v>51</v>
      </c>
      <c r="G51" s="155">
        <v>0</v>
      </c>
      <c r="H51" s="155">
        <f t="shared" si="6"/>
        <v>1</v>
      </c>
      <c r="I51" s="33">
        <f>IF($H$44=1,($J$44*EXP(-'NUK Daten'!$F$18*D51))/H51,$J$44)</f>
        <v>6.9120000000000008</v>
      </c>
      <c r="J51" s="58">
        <v>30</v>
      </c>
      <c r="K51" s="33">
        <f>IF($H$44=1,(-1/'NUK Daten'!$F$18*EXP(-'NUK Daten'!$F$18*J51)+1/'NUK Daten'!$F$18*EXP(-'NUK Daten'!$F$18*0))/J51,1)</f>
        <v>0.97175934954506338</v>
      </c>
      <c r="L51" s="33">
        <f t="shared" si="7"/>
        <v>6.7168006240554785</v>
      </c>
      <c r="M51" s="15">
        <f t="shared" si="8"/>
        <v>1.2594001170104021</v>
      </c>
      <c r="N51" s="33">
        <f t="shared" si="9"/>
        <v>0.41980003900346741</v>
      </c>
    </row>
  </sheetData>
  <mergeCells count="12">
    <mergeCell ref="G45:I45"/>
    <mergeCell ref="M45:N45"/>
    <mergeCell ref="G37:I37"/>
    <mergeCell ref="M37:N37"/>
    <mergeCell ref="G28:I28"/>
    <mergeCell ref="M28:N28"/>
    <mergeCell ref="G7:I7"/>
    <mergeCell ref="G15:I15"/>
    <mergeCell ref="M7:N7"/>
    <mergeCell ref="M15:N15"/>
    <mergeCell ref="G21:I21"/>
    <mergeCell ref="M21:N21"/>
  </mergeCells>
  <pageMargins left="0.7" right="0.7" top="0.78740157499999996" bottom="0.78740157499999996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F6D64-50F9-4A98-83A0-5AD2AF74ABE4}">
  <dimension ref="A3:F17"/>
  <sheetViews>
    <sheetView workbookViewId="0">
      <selection activeCell="B6" sqref="B6"/>
    </sheetView>
  </sheetViews>
  <sheetFormatPr baseColWidth="10" defaultRowHeight="15" x14ac:dyDescent="0.25"/>
  <cols>
    <col min="1" max="1" width="6.7109375" customWidth="1"/>
    <col min="2" max="2" width="35.85546875" customWidth="1"/>
    <col min="3" max="3" width="11.5703125" customWidth="1"/>
    <col min="4" max="4" width="11.5703125" style="66" customWidth="1"/>
    <col min="5" max="6" width="11.42578125" style="23"/>
  </cols>
  <sheetData>
    <row r="3" spans="1:6" s="3" customFormat="1" ht="26.25" x14ac:dyDescent="0.4">
      <c r="A3" s="3" t="s">
        <v>0</v>
      </c>
      <c r="D3" s="64"/>
      <c r="E3" s="21"/>
      <c r="F3" s="21"/>
    </row>
    <row r="4" spans="1:6" ht="15.75" x14ac:dyDescent="0.25">
      <c r="C4" s="294" t="s">
        <v>77</v>
      </c>
      <c r="D4" s="294"/>
      <c r="E4" s="294"/>
      <c r="F4" s="31" t="s">
        <v>78</v>
      </c>
    </row>
    <row r="5" spans="1:6" s="4" customFormat="1" ht="30.75" customHeight="1" thickBot="1" x14ac:dyDescent="0.3">
      <c r="A5" s="4" t="s">
        <v>1</v>
      </c>
      <c r="B5" s="4" t="s">
        <v>2</v>
      </c>
      <c r="C5" s="4" t="s">
        <v>6</v>
      </c>
      <c r="D5" s="65" t="s">
        <v>60</v>
      </c>
      <c r="E5" s="20" t="s">
        <v>56</v>
      </c>
      <c r="F5" s="20" t="s">
        <v>3</v>
      </c>
    </row>
    <row r="6" spans="1:6" x14ac:dyDescent="0.25">
      <c r="A6" s="48">
        <v>1</v>
      </c>
      <c r="B6" s="41" t="s">
        <v>28</v>
      </c>
      <c r="C6" s="41" t="s">
        <v>57</v>
      </c>
      <c r="D6" s="83">
        <v>0.2</v>
      </c>
      <c r="E6" s="38"/>
      <c r="F6" s="53"/>
    </row>
    <row r="7" spans="1:6" x14ac:dyDescent="0.25">
      <c r="A7" s="56">
        <v>2</v>
      </c>
      <c r="B7" s="57" t="s">
        <v>29</v>
      </c>
      <c r="C7" s="57" t="s">
        <v>57</v>
      </c>
      <c r="D7" s="84">
        <v>0.2</v>
      </c>
      <c r="E7" s="58"/>
      <c r="F7" s="55"/>
    </row>
    <row r="8" spans="1:6" x14ac:dyDescent="0.25">
      <c r="A8" s="56">
        <v>3</v>
      </c>
      <c r="B8" s="57" t="s">
        <v>30</v>
      </c>
      <c r="C8" s="57" t="s">
        <v>57</v>
      </c>
      <c r="D8" s="84">
        <v>0.2</v>
      </c>
      <c r="E8" s="58"/>
      <c r="F8" s="55"/>
    </row>
    <row r="9" spans="1:6" x14ac:dyDescent="0.25">
      <c r="A9" s="56">
        <v>4</v>
      </c>
      <c r="B9" s="57" t="s">
        <v>31</v>
      </c>
      <c r="C9" s="57" t="s">
        <v>57</v>
      </c>
      <c r="D9" s="84">
        <v>0.2</v>
      </c>
      <c r="E9" s="58"/>
      <c r="F9" s="55"/>
    </row>
    <row r="10" spans="1:6" x14ac:dyDescent="0.25">
      <c r="A10" s="56">
        <v>5</v>
      </c>
      <c r="B10" s="57" t="s">
        <v>58</v>
      </c>
      <c r="C10" s="57" t="s">
        <v>59</v>
      </c>
      <c r="D10" s="84">
        <f>E10/2</f>
        <v>0.5</v>
      </c>
      <c r="E10" s="58">
        <v>1</v>
      </c>
      <c r="F10" s="55"/>
    </row>
    <row r="11" spans="1:6" x14ac:dyDescent="0.25">
      <c r="A11" s="56">
        <v>6</v>
      </c>
      <c r="B11" s="57" t="s">
        <v>61</v>
      </c>
      <c r="C11" s="57" t="s">
        <v>59</v>
      </c>
      <c r="D11" s="84">
        <f t="shared" ref="D11:D14" si="0">E11/2</f>
        <v>0.5</v>
      </c>
      <c r="E11" s="58">
        <v>1</v>
      </c>
      <c r="F11" s="55"/>
    </row>
    <row r="12" spans="1:6" x14ac:dyDescent="0.25">
      <c r="A12" s="56">
        <v>7</v>
      </c>
      <c r="B12" s="57" t="s">
        <v>62</v>
      </c>
      <c r="C12" s="57" t="s">
        <v>59</v>
      </c>
      <c r="D12" s="84">
        <f t="shared" si="0"/>
        <v>0.5</v>
      </c>
      <c r="E12" s="58">
        <v>1</v>
      </c>
      <c r="F12" s="55"/>
    </row>
    <row r="13" spans="1:6" x14ac:dyDescent="0.25">
      <c r="A13" s="56">
        <v>8</v>
      </c>
      <c r="B13" s="57" t="s">
        <v>63</v>
      </c>
      <c r="C13" s="57" t="s">
        <v>59</v>
      </c>
      <c r="D13" s="84">
        <f t="shared" si="0"/>
        <v>0.5</v>
      </c>
      <c r="E13" s="58">
        <v>1</v>
      </c>
      <c r="F13" s="55"/>
    </row>
    <row r="14" spans="1:6" x14ac:dyDescent="0.25">
      <c r="A14" s="56">
        <v>9</v>
      </c>
      <c r="B14" s="57" t="s">
        <v>64</v>
      </c>
      <c r="C14" s="57" t="s">
        <v>59</v>
      </c>
      <c r="D14" s="84">
        <f t="shared" si="0"/>
        <v>0.5</v>
      </c>
      <c r="E14" s="58">
        <v>1</v>
      </c>
      <c r="F14" s="55"/>
    </row>
    <row r="15" spans="1:6" x14ac:dyDescent="0.25">
      <c r="A15" s="56">
        <v>10</v>
      </c>
      <c r="B15" s="57" t="s">
        <v>65</v>
      </c>
      <c r="C15" s="57" t="s">
        <v>66</v>
      </c>
      <c r="D15" s="84">
        <v>0.2</v>
      </c>
      <c r="E15" s="58"/>
      <c r="F15" s="55"/>
    </row>
    <row r="16" spans="1:6" x14ac:dyDescent="0.25">
      <c r="A16" s="91">
        <v>11</v>
      </c>
      <c r="B16" s="92" t="s">
        <v>67</v>
      </c>
      <c r="C16" s="92" t="s">
        <v>66</v>
      </c>
      <c r="D16" s="93">
        <f>E16/2</f>
        <v>0.5</v>
      </c>
      <c r="E16" s="94">
        <v>1</v>
      </c>
      <c r="F16" s="95"/>
    </row>
    <row r="17" spans="1:6" x14ac:dyDescent="0.25">
      <c r="A17" s="56">
        <v>12</v>
      </c>
      <c r="B17" s="57" t="s">
        <v>68</v>
      </c>
      <c r="C17" s="57" t="s">
        <v>57</v>
      </c>
      <c r="D17" s="84">
        <v>0.2</v>
      </c>
      <c r="E17" s="58"/>
      <c r="F17" s="55"/>
    </row>
  </sheetData>
  <mergeCells count="1">
    <mergeCell ref="C4:E4"/>
  </mergeCells>
  <pageMargins left="0.7" right="0.7" top="0.78740157499999996" bottom="0.78740157499999996" header="0.3" footer="0.3"/>
  <pageSetup paperSize="9" orientation="portrait" horizontalDpi="0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124FF-A8A4-494F-9998-B6D211D9E43C}">
  <dimension ref="A3:I12"/>
  <sheetViews>
    <sheetView tabSelected="1" workbookViewId="0">
      <selection activeCell="F17" sqref="F17"/>
    </sheetView>
  </sheetViews>
  <sheetFormatPr baseColWidth="10" defaultRowHeight="15" x14ac:dyDescent="0.25"/>
  <cols>
    <col min="1" max="1" width="11.42578125" style="32"/>
    <col min="2" max="2" width="17" customWidth="1"/>
    <col min="3" max="3" width="16.42578125" style="23" customWidth="1"/>
  </cols>
  <sheetData>
    <row r="3" spans="1:9" s="3" customFormat="1" ht="26.25" x14ac:dyDescent="0.4">
      <c r="A3" s="297" t="s">
        <v>4</v>
      </c>
      <c r="B3" s="298"/>
      <c r="C3" s="298"/>
      <c r="D3" s="298"/>
      <c r="E3" s="298"/>
      <c r="F3" s="298"/>
    </row>
    <row r="4" spans="1:9" s="4" customFormat="1" ht="30.75" customHeight="1" thickBot="1" x14ac:dyDescent="0.3">
      <c r="A4" s="31" t="s">
        <v>1</v>
      </c>
      <c r="B4" s="4" t="s">
        <v>2</v>
      </c>
      <c r="C4" s="22" t="s">
        <v>6</v>
      </c>
      <c r="D4" s="65" t="s">
        <v>60</v>
      </c>
      <c r="E4" s="20" t="s">
        <v>56</v>
      </c>
      <c r="F4" s="20" t="s">
        <v>3</v>
      </c>
    </row>
    <row r="5" spans="1:9" x14ac:dyDescent="0.25">
      <c r="A5" s="53">
        <f>Aufpunkte!A16</f>
        <v>11</v>
      </c>
      <c r="B5" s="48" t="str">
        <f>Aufpunkte!B16</f>
        <v>Test</v>
      </c>
      <c r="C5" s="53" t="str">
        <f>Aufpunkte!C16</f>
        <v>sonst.</v>
      </c>
      <c r="D5" s="69">
        <f>Aufpunkte!D16</f>
        <v>0.5</v>
      </c>
      <c r="E5" s="53">
        <f>Aufpunkte!E16</f>
        <v>1</v>
      </c>
      <c r="F5" s="53">
        <f>Aufpunkte!F16</f>
        <v>0</v>
      </c>
    </row>
    <row r="6" spans="1:9" s="68" customFormat="1" x14ac:dyDescent="0.25">
      <c r="A6" s="24"/>
      <c r="B6" s="10"/>
      <c r="C6" s="24"/>
      <c r="D6" s="67"/>
      <c r="E6" s="24"/>
      <c r="F6" s="24"/>
    </row>
    <row r="7" spans="1:9" x14ac:dyDescent="0.25">
      <c r="B7" s="71"/>
      <c r="C7"/>
      <c r="D7" s="295" t="s">
        <v>22</v>
      </c>
      <c r="E7" s="296"/>
      <c r="F7" s="23"/>
    </row>
    <row r="8" spans="1:9" s="4" customFormat="1" ht="45.75" thickBot="1" x14ac:dyDescent="0.3">
      <c r="A8" s="75" t="s">
        <v>1</v>
      </c>
      <c r="B8" s="73" t="s">
        <v>74</v>
      </c>
      <c r="C8" s="77" t="s">
        <v>5</v>
      </c>
      <c r="D8" s="75" t="s">
        <v>9</v>
      </c>
      <c r="E8" s="76" t="s">
        <v>10</v>
      </c>
      <c r="F8" s="74" t="s">
        <v>72</v>
      </c>
      <c r="G8" s="88" t="s">
        <v>70</v>
      </c>
      <c r="H8" s="88" t="s">
        <v>71</v>
      </c>
      <c r="I8" s="76" t="s">
        <v>3</v>
      </c>
    </row>
    <row r="9" spans="1:9" x14ac:dyDescent="0.25">
      <c r="A9" s="53">
        <v>1</v>
      </c>
      <c r="B9" s="38">
        <f>Positionen!B10</f>
        <v>5</v>
      </c>
      <c r="C9" s="41" t="str">
        <f>Positionen!C10</f>
        <v>Oben2</v>
      </c>
      <c r="D9" s="53">
        <f>Positionen!G10</f>
        <v>0</v>
      </c>
      <c r="E9" s="53">
        <f>Positionen!H10</f>
        <v>0</v>
      </c>
      <c r="F9" s="38">
        <v>8</v>
      </c>
      <c r="G9" s="45" t="e">
        <f>'APkt QPkt'!G7</f>
        <v>#REF!</v>
      </c>
      <c r="H9" s="45" t="e">
        <f>'APkt QPkt'!H7</f>
        <v>#REF!</v>
      </c>
      <c r="I9" s="45" t="e">
        <f>'APkt QPkt'!I7</f>
        <v>#REF!</v>
      </c>
    </row>
    <row r="10" spans="1:9" x14ac:dyDescent="0.25">
      <c r="A10" s="55">
        <v>2</v>
      </c>
      <c r="B10" s="58" t="e">
        <f>Positionen!#REF!</f>
        <v>#REF!</v>
      </c>
      <c r="C10" s="57" t="e">
        <f>Positionen!#REF!</f>
        <v>#REF!</v>
      </c>
      <c r="D10" s="55"/>
      <c r="E10" s="55"/>
      <c r="F10" s="58">
        <v>8</v>
      </c>
      <c r="G10" s="56"/>
      <c r="H10" s="56"/>
      <c r="I10" s="49"/>
    </row>
    <row r="11" spans="1:9" x14ac:dyDescent="0.25">
      <c r="A11" s="55">
        <v>3</v>
      </c>
      <c r="B11" s="58" t="e">
        <f>Positionen!#REF!</f>
        <v>#REF!</v>
      </c>
      <c r="C11" s="57" t="e">
        <f>Positionen!#REF!</f>
        <v>#REF!</v>
      </c>
      <c r="D11" s="55"/>
      <c r="E11" s="55"/>
      <c r="F11" s="58">
        <v>8</v>
      </c>
      <c r="G11" s="56"/>
      <c r="H11" s="56"/>
      <c r="I11" s="49"/>
    </row>
    <row r="12" spans="1:9" x14ac:dyDescent="0.25">
      <c r="A12" s="55">
        <v>4</v>
      </c>
      <c r="B12" s="58" t="e">
        <f>Positionen!#REF!</f>
        <v>#REF!</v>
      </c>
      <c r="C12" s="57" t="e">
        <f>Positionen!#REF!</f>
        <v>#REF!</v>
      </c>
      <c r="D12" s="55"/>
      <c r="E12" s="55"/>
      <c r="F12" s="58">
        <v>8</v>
      </c>
      <c r="G12" s="56"/>
      <c r="H12" s="56"/>
      <c r="I12" s="49"/>
    </row>
  </sheetData>
  <mergeCells count="2">
    <mergeCell ref="D7:E7"/>
    <mergeCell ref="A3:F3"/>
  </mergeCells>
  <pageMargins left="0.7" right="0.7" top="0.78740157499999996" bottom="0.78740157499999996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0261F-FEFA-44EA-93DC-C8365881B15C}">
  <dimension ref="A3:P52"/>
  <sheetViews>
    <sheetView topLeftCell="A6" workbookViewId="0">
      <selection activeCell="C15" sqref="C15"/>
    </sheetView>
  </sheetViews>
  <sheetFormatPr baseColWidth="10" defaultRowHeight="15" x14ac:dyDescent="0.25"/>
  <cols>
    <col min="1" max="1" width="8.140625" customWidth="1"/>
    <col min="2" max="2" width="18.5703125" customWidth="1"/>
    <col min="3" max="3" width="8.5703125" customWidth="1"/>
    <col min="4" max="4" width="10.28515625" customWidth="1"/>
    <col min="5" max="5" width="15.140625" customWidth="1"/>
    <col min="6" max="6" width="9" customWidth="1"/>
    <col min="7" max="7" width="15" customWidth="1"/>
    <col min="8" max="10" width="11.42578125" style="71"/>
    <col min="11" max="11" width="11.42578125" style="66"/>
    <col min="13" max="14" width="11.42578125" style="33"/>
    <col min="15" max="15" width="12.5703125" style="15" customWidth="1"/>
    <col min="16" max="16" width="11.42578125" style="112"/>
  </cols>
  <sheetData>
    <row r="3" spans="1:16" s="3" customFormat="1" ht="26.25" x14ac:dyDescent="0.4">
      <c r="B3" s="3" t="s">
        <v>15</v>
      </c>
      <c r="H3" s="78"/>
      <c r="I3" s="78"/>
      <c r="J3" s="78"/>
      <c r="K3" s="64"/>
      <c r="M3" s="79"/>
      <c r="N3" s="79"/>
      <c r="O3" s="14"/>
      <c r="P3" s="109"/>
    </row>
    <row r="5" spans="1:16" s="7" customFormat="1" ht="18.75" x14ac:dyDescent="0.3">
      <c r="B5" s="7" t="s">
        <v>16</v>
      </c>
      <c r="H5" s="89"/>
      <c r="I5" s="89"/>
      <c r="J5" s="89"/>
      <c r="K5" s="97"/>
      <c r="M5" s="116"/>
      <c r="N5" s="116"/>
      <c r="O5" s="98"/>
      <c r="P5" s="110"/>
    </row>
    <row r="6" spans="1:16" s="4" customFormat="1" ht="33.75" thickBot="1" x14ac:dyDescent="0.3">
      <c r="A6" s="4" t="s">
        <v>1</v>
      </c>
      <c r="B6" s="4" t="s">
        <v>2</v>
      </c>
      <c r="C6" s="70" t="s">
        <v>17</v>
      </c>
      <c r="D6" s="70" t="s">
        <v>80</v>
      </c>
      <c r="E6" s="4" t="s">
        <v>5</v>
      </c>
      <c r="G6" s="20" t="s">
        <v>70</v>
      </c>
      <c r="H6" s="20" t="s">
        <v>71</v>
      </c>
      <c r="I6" s="20" t="s">
        <v>84</v>
      </c>
      <c r="K6" s="70"/>
      <c r="L6" s="96"/>
      <c r="M6" s="117"/>
      <c r="N6" s="117"/>
      <c r="O6" s="99"/>
      <c r="P6" s="111"/>
    </row>
    <row r="7" spans="1:16" x14ac:dyDescent="0.25">
      <c r="A7" s="56">
        <f>'APkt Details'!A5</f>
        <v>11</v>
      </c>
      <c r="B7" s="48" t="str">
        <f>'APkt Details'!B5</f>
        <v>Test</v>
      </c>
      <c r="C7" s="53">
        <f>'APkt Details'!A9</f>
        <v>1</v>
      </c>
      <c r="D7" s="53">
        <f>'APkt Details'!B9</f>
        <v>5</v>
      </c>
      <c r="E7" s="48" t="str">
        <f>'APkt Details'!C9</f>
        <v>Oben2</v>
      </c>
      <c r="F7" s="48"/>
      <c r="G7" s="100" t="e">
        <f>MAX(M12:M14)+MAX(M34:M36)</f>
        <v>#REF!</v>
      </c>
      <c r="H7" s="100" t="e">
        <f>MAX(O12:O14)+MAX(O34:O36)</f>
        <v>#REF!</v>
      </c>
      <c r="I7" s="50" t="e">
        <f>SUM(O12:O52)</f>
        <v>#REF!</v>
      </c>
      <c r="J7"/>
      <c r="K7" s="71"/>
      <c r="L7" s="27"/>
    </row>
    <row r="8" spans="1:16" x14ac:dyDescent="0.25">
      <c r="H8" s="2"/>
      <c r="I8" s="2"/>
    </row>
    <row r="10" spans="1:16" s="7" customFormat="1" ht="37.5" customHeight="1" x14ac:dyDescent="0.3">
      <c r="A10" s="299" t="s">
        <v>5</v>
      </c>
      <c r="B10" s="299"/>
      <c r="D10" s="115" t="s">
        <v>18</v>
      </c>
      <c r="H10" s="89"/>
      <c r="I10" s="89"/>
      <c r="J10" s="89"/>
      <c r="K10" s="97"/>
      <c r="M10" s="116"/>
      <c r="N10" s="116"/>
      <c r="O10" s="98"/>
      <c r="P10" s="110"/>
    </row>
    <row r="11" spans="1:16" s="4" customFormat="1" ht="45.75" thickBot="1" x14ac:dyDescent="0.3">
      <c r="A11" s="75" t="s">
        <v>80</v>
      </c>
      <c r="B11" s="90" t="s">
        <v>5</v>
      </c>
      <c r="C11" s="101" t="s">
        <v>83</v>
      </c>
      <c r="D11" s="76" t="s">
        <v>73</v>
      </c>
      <c r="E11" s="90" t="s">
        <v>2</v>
      </c>
      <c r="F11" s="76" t="s">
        <v>80</v>
      </c>
      <c r="G11" s="76" t="s">
        <v>50</v>
      </c>
      <c r="H11" s="76" t="s">
        <v>81</v>
      </c>
      <c r="I11" s="75" t="s">
        <v>20</v>
      </c>
      <c r="J11" s="76" t="s">
        <v>82</v>
      </c>
      <c r="K11" s="75" t="s">
        <v>23</v>
      </c>
      <c r="L11" s="90" t="s">
        <v>19</v>
      </c>
      <c r="M11" s="102" t="s">
        <v>70</v>
      </c>
      <c r="N11" s="102" t="s">
        <v>71</v>
      </c>
      <c r="O11" s="102" t="s">
        <v>84</v>
      </c>
      <c r="P11" s="108" t="s">
        <v>21</v>
      </c>
    </row>
    <row r="12" spans="1:16" x14ac:dyDescent="0.25">
      <c r="A12" s="48">
        <f>Positionen!B6</f>
        <v>1</v>
      </c>
      <c r="B12" s="48" t="str">
        <f>Positionen!C6</f>
        <v>Raummitte</v>
      </c>
      <c r="C12" s="103">
        <f>AbstandsTab!C9</f>
        <v>5</v>
      </c>
      <c r="D12" s="53">
        <f>Quellen!A7</f>
        <v>1</v>
      </c>
      <c r="E12" s="48" t="str">
        <f>Quellen!B7</f>
        <v>ThPat. J-131</v>
      </c>
      <c r="F12" s="53">
        <f>'Quell-Details'!B10</f>
        <v>2</v>
      </c>
      <c r="G12" s="53">
        <f>Quellen!C7</f>
        <v>1</v>
      </c>
      <c r="H12" s="53">
        <f>'Quell-Details'!D10</f>
        <v>0</v>
      </c>
      <c r="I12" s="53" t="str">
        <f>Quellen!E7</f>
        <v>J-131+</v>
      </c>
      <c r="J12" s="44">
        <f>'Quell-Details'!E10</f>
        <v>500</v>
      </c>
      <c r="K12" s="53">
        <f>'Quell-Details'!H10</f>
        <v>1</v>
      </c>
      <c r="L12" s="48"/>
      <c r="M12" s="50">
        <f>(1/C12^2)*'Quell-Details'!I10/K12</f>
        <v>1.32</v>
      </c>
      <c r="N12" s="50">
        <f>(1/C12^2)*'Quell-Details'!L10/K12</f>
        <v>1.32</v>
      </c>
      <c r="O12" s="45">
        <f>((G12*H12)/60*N12*5*50)/1000</f>
        <v>0</v>
      </c>
      <c r="P12" s="113" t="e">
        <f>O12/$I$7</f>
        <v>#REF!</v>
      </c>
    </row>
    <row r="13" spans="1:16" x14ac:dyDescent="0.25">
      <c r="A13" s="49">
        <f>Positionen!B6</f>
        <v>1</v>
      </c>
      <c r="B13" s="49" t="str">
        <f>Positionen!C6</f>
        <v>Raummitte</v>
      </c>
      <c r="C13" s="104">
        <f>AbstandsTab!C9</f>
        <v>5</v>
      </c>
      <c r="D13" s="54">
        <f>Quellen!A8</f>
        <v>2</v>
      </c>
      <c r="E13" s="49" t="str">
        <f>Quellen!B8</f>
        <v>Tc-Generator</v>
      </c>
      <c r="F13" s="54">
        <v>2</v>
      </c>
      <c r="G13" s="54">
        <f>Quellen!C8</f>
        <v>1</v>
      </c>
      <c r="H13" s="54">
        <v>120</v>
      </c>
      <c r="I13" s="54" t="str">
        <f>Quellen!E8</f>
        <v>Mo-99+</v>
      </c>
      <c r="J13" s="46">
        <f>J12</f>
        <v>500</v>
      </c>
      <c r="K13" s="54">
        <f>K12</f>
        <v>1</v>
      </c>
      <c r="L13" s="49"/>
      <c r="M13" s="51">
        <f>M12</f>
        <v>1.32</v>
      </c>
      <c r="N13" s="51">
        <f>N12</f>
        <v>1.32</v>
      </c>
      <c r="O13" s="47">
        <f>((G13*H13)/60*N13*5*50)/1000</f>
        <v>0.66</v>
      </c>
      <c r="P13" s="114" t="e">
        <f t="shared" ref="P13:P52" si="0">O13/$I$7</f>
        <v>#REF!</v>
      </c>
    </row>
    <row r="14" spans="1:16" x14ac:dyDescent="0.25">
      <c r="A14" s="49">
        <f>Positionen!B6</f>
        <v>1</v>
      </c>
      <c r="B14" s="49" t="str">
        <f>Positionen!C6</f>
        <v>Raummitte</v>
      </c>
      <c r="C14" s="104">
        <f>AbstandsTab!C9</f>
        <v>5</v>
      </c>
      <c r="D14" s="54">
        <f>Quellen!A9</f>
        <v>3</v>
      </c>
      <c r="E14" s="49" t="str">
        <f>Quellen!B9</f>
        <v>Patient Tc-99m</v>
      </c>
      <c r="F14" s="54">
        <v>2</v>
      </c>
      <c r="G14" s="54">
        <f>Quellen!C9</f>
        <v>5</v>
      </c>
      <c r="H14" s="54">
        <v>120</v>
      </c>
      <c r="I14" s="54" t="str">
        <f>Quellen!E9</f>
        <v>Tc-99m</v>
      </c>
      <c r="J14" s="46">
        <f>J12</f>
        <v>500</v>
      </c>
      <c r="K14" s="54">
        <f>K12</f>
        <v>1</v>
      </c>
      <c r="L14" s="49"/>
      <c r="M14" s="51">
        <f>M12</f>
        <v>1.32</v>
      </c>
      <c r="N14" s="51">
        <f>N12</f>
        <v>1.32</v>
      </c>
      <c r="O14" s="47">
        <f>((G14*H14)/60*N14*5*50)/1000</f>
        <v>3.3</v>
      </c>
      <c r="P14" s="114" t="e">
        <f t="shared" si="0"/>
        <v>#REF!</v>
      </c>
    </row>
    <row r="15" spans="1:16" x14ac:dyDescent="0.25">
      <c r="A15" s="56">
        <f>Positionen!B7</f>
        <v>2</v>
      </c>
      <c r="B15" s="56" t="str">
        <f>Positionen!C7</f>
        <v>LINKS</v>
      </c>
      <c r="C15" s="105">
        <f>AbstandsTab!D9</f>
        <v>6.7268120235368549</v>
      </c>
      <c r="D15" s="55">
        <f>Quellen!A10</f>
        <v>4</v>
      </c>
      <c r="E15" s="56" t="str">
        <f>Quellen!B10</f>
        <v>Patient F-18</v>
      </c>
      <c r="F15" s="55">
        <v>1</v>
      </c>
      <c r="G15" s="55">
        <v>1</v>
      </c>
      <c r="H15" s="55">
        <f>8*60</f>
        <v>480</v>
      </c>
      <c r="I15" s="55" t="str">
        <f>Quellen!E11</f>
        <v>In-111+</v>
      </c>
      <c r="J15" s="106">
        <f>Quellen!F10</f>
        <v>370</v>
      </c>
      <c r="K15" s="55">
        <v>1</v>
      </c>
      <c r="L15" s="56"/>
      <c r="M15" s="107">
        <f>(1/C15^2)*Quellen!L10/K15</f>
        <v>1.3491712707182322</v>
      </c>
      <c r="N15" s="107">
        <f>1/C15^2*Quellen!L10/K15</f>
        <v>1.3491712707182322</v>
      </c>
      <c r="O15" s="52">
        <f>((G15*H15)/60*N15*5*50)/1000</f>
        <v>2.6983425414364643</v>
      </c>
      <c r="P15" s="114" t="e">
        <f t="shared" si="0"/>
        <v>#REF!</v>
      </c>
    </row>
    <row r="16" spans="1:16" x14ac:dyDescent="0.25">
      <c r="A16" s="56">
        <f>Positionen!B8</f>
        <v>3</v>
      </c>
      <c r="B16" s="56" t="str">
        <f>Positionen!C8</f>
        <v>RECHTS</v>
      </c>
      <c r="C16" s="105">
        <f>AbstandsTab!E9</f>
        <v>6.2801273872430325</v>
      </c>
      <c r="D16" s="55">
        <f>Quellen!A11</f>
        <v>5</v>
      </c>
      <c r="E16" s="56" t="str">
        <f>Quellen!B11</f>
        <v>Patient In-111</v>
      </c>
      <c r="F16" s="55">
        <v>1</v>
      </c>
      <c r="G16" s="55">
        <v>1</v>
      </c>
      <c r="H16" s="55">
        <f>2*60</f>
        <v>120</v>
      </c>
      <c r="I16" s="55" t="e">
        <f>Quellen!#REF!</f>
        <v>#REF!</v>
      </c>
      <c r="J16" s="106">
        <f>Quellen!F11</f>
        <v>120</v>
      </c>
      <c r="K16" s="55">
        <v>1</v>
      </c>
      <c r="L16" s="56"/>
      <c r="M16" s="107">
        <f>(1/C16^2)*Quellen!L11/K16</f>
        <v>2.7109533468559843</v>
      </c>
      <c r="N16" s="107">
        <f>(1/C16^2)*Quellen!L11/K16</f>
        <v>2.7109533468559843</v>
      </c>
      <c r="O16" s="52">
        <f t="shared" ref="O16:O19" si="1">((G16*H16)/60*N16*5*50)/1000</f>
        <v>1.3554766734279922</v>
      </c>
      <c r="P16" s="114" t="e">
        <f t="shared" si="0"/>
        <v>#REF!</v>
      </c>
    </row>
    <row r="17" spans="1:16" x14ac:dyDescent="0.25">
      <c r="A17" s="56"/>
      <c r="B17" s="56"/>
      <c r="C17" s="105">
        <f>AbstandsTab!E9</f>
        <v>6.2801273872430325</v>
      </c>
      <c r="D17" s="55">
        <f>Quellen!A12</f>
        <v>6</v>
      </c>
      <c r="E17" s="56" t="str">
        <f>Quellen!B12</f>
        <v>Tc-99m 2</v>
      </c>
      <c r="F17" s="55">
        <v>2</v>
      </c>
      <c r="G17" s="55">
        <v>1</v>
      </c>
      <c r="H17" s="55">
        <f>0.5*60</f>
        <v>30</v>
      </c>
      <c r="I17" s="55" t="str">
        <f>Quellen!E12</f>
        <v>Tc-99m</v>
      </c>
      <c r="J17" s="106">
        <f>Quellen!F12</f>
        <v>320</v>
      </c>
      <c r="K17" s="55">
        <v>1</v>
      </c>
      <c r="L17" s="56"/>
      <c r="M17" s="107">
        <f>(1/C17^2)*Quellen!L12/K17</f>
        <v>0.17525354969574042</v>
      </c>
      <c r="N17" s="107">
        <f>(1/C17^2)*Quellen!L12/K17</f>
        <v>0.17525354969574042</v>
      </c>
      <c r="O17" s="52">
        <f t="shared" si="1"/>
        <v>2.1906693711967552E-2</v>
      </c>
      <c r="P17" s="114" t="e">
        <f t="shared" si="0"/>
        <v>#REF!</v>
      </c>
    </row>
    <row r="18" spans="1:16" x14ac:dyDescent="0.25">
      <c r="A18" s="56"/>
      <c r="B18" s="56"/>
      <c r="C18" s="105">
        <f>AbstandsTab!E9</f>
        <v>6.2801273872430325</v>
      </c>
      <c r="D18" s="55">
        <f>Quellen!A10</f>
        <v>4</v>
      </c>
      <c r="E18" s="56" t="str">
        <f>Quellen!B10</f>
        <v>Patient F-18</v>
      </c>
      <c r="F18" s="55">
        <v>1</v>
      </c>
      <c r="G18" s="55">
        <v>1</v>
      </c>
      <c r="H18" s="55">
        <f>4*60</f>
        <v>240</v>
      </c>
      <c r="I18" s="55" t="str">
        <f>Quellen!E11</f>
        <v>In-111+</v>
      </c>
      <c r="J18" s="106">
        <f>Quellen!F10</f>
        <v>370</v>
      </c>
      <c r="K18" s="55">
        <f t="shared" ref="K18:P19" si="2">K15</f>
        <v>1</v>
      </c>
      <c r="L18" s="56"/>
      <c r="M18" s="107">
        <f t="shared" si="2"/>
        <v>1.3491712707182322</v>
      </c>
      <c r="N18" s="107">
        <f t="shared" si="2"/>
        <v>1.3491712707182322</v>
      </c>
      <c r="O18" s="52">
        <f t="shared" si="1"/>
        <v>1.3491712707182322</v>
      </c>
      <c r="P18" s="114" t="e">
        <f t="shared" si="2"/>
        <v>#REF!</v>
      </c>
    </row>
    <row r="19" spans="1:16" x14ac:dyDescent="0.25">
      <c r="A19" s="56"/>
      <c r="B19" s="56"/>
      <c r="C19" s="105">
        <f>AbstandsTab!E9</f>
        <v>6.2801273872430325</v>
      </c>
      <c r="D19" s="55" t="e">
        <f>Quellen!#REF!</f>
        <v>#REF!</v>
      </c>
      <c r="E19" s="56" t="e">
        <f>Quellen!#REF!</f>
        <v>#REF!</v>
      </c>
      <c r="F19" s="55">
        <v>1</v>
      </c>
      <c r="G19" s="55">
        <v>1</v>
      </c>
      <c r="H19" s="55">
        <f>2*60</f>
        <v>120</v>
      </c>
      <c r="I19" s="55" t="e">
        <f>Quellen!#REF!</f>
        <v>#REF!</v>
      </c>
      <c r="J19" s="106" t="e">
        <f>Quellen!#REF!</f>
        <v>#REF!</v>
      </c>
      <c r="K19" s="55">
        <v>1</v>
      </c>
      <c r="L19" s="56"/>
      <c r="M19" s="107" t="e">
        <f>(1/C19^2)*Quellen!#REF!/K19</f>
        <v>#REF!</v>
      </c>
      <c r="N19" s="107" t="e">
        <f>(1/C19^2)*Quellen!#REF!/K19</f>
        <v>#REF!</v>
      </c>
      <c r="O19" s="52" t="e">
        <f t="shared" si="1"/>
        <v>#REF!</v>
      </c>
      <c r="P19" s="114" t="e">
        <f t="shared" si="2"/>
        <v>#REF!</v>
      </c>
    </row>
    <row r="20" spans="1:16" x14ac:dyDescent="0.25">
      <c r="A20" s="56">
        <f>Positionen!B9</f>
        <v>4</v>
      </c>
      <c r="B20" s="56" t="str">
        <f>Positionen!C9</f>
        <v>Oben 1</v>
      </c>
      <c r="C20" s="105">
        <f>AbstandsTab!F9</f>
        <v>0.5</v>
      </c>
      <c r="D20" s="55">
        <f>Quellen!A12</f>
        <v>6</v>
      </c>
      <c r="E20" s="56" t="str">
        <f>Quellen!B12</f>
        <v>Tc-99m 2</v>
      </c>
      <c r="F20" s="55">
        <v>1</v>
      </c>
      <c r="G20" s="55">
        <v>1</v>
      </c>
      <c r="H20" s="55">
        <f>4*60</f>
        <v>240</v>
      </c>
      <c r="I20" s="55" t="str">
        <f>Quellen!E12</f>
        <v>Tc-99m</v>
      </c>
      <c r="J20" s="106">
        <f>Quellen!F12</f>
        <v>320</v>
      </c>
      <c r="K20" s="55">
        <v>1</v>
      </c>
      <c r="L20" s="56"/>
      <c r="M20" s="107">
        <f>(1/C20^2)*Quellen!L12/K20</f>
        <v>27.648000000000003</v>
      </c>
      <c r="N20" s="107">
        <f>(1/C20^2)*Quellen!L12/K20</f>
        <v>27.648000000000003</v>
      </c>
      <c r="O20" s="52">
        <f>((G20*H20)/60*N20*5*50)/1000</f>
        <v>27.648</v>
      </c>
      <c r="P20" s="114" t="e">
        <f t="shared" si="0"/>
        <v>#REF!</v>
      </c>
    </row>
    <row r="21" spans="1:16" x14ac:dyDescent="0.25">
      <c r="A21" s="56"/>
      <c r="B21" s="56"/>
      <c r="C21" s="105">
        <f>AbstandsTab!F9</f>
        <v>0.5</v>
      </c>
      <c r="D21" s="55" t="e">
        <f>Quellen!#REF!</f>
        <v>#REF!</v>
      </c>
      <c r="E21" s="56" t="e">
        <f>Quellen!#REF!</f>
        <v>#REF!</v>
      </c>
      <c r="F21" s="55">
        <v>1</v>
      </c>
      <c r="G21" s="55">
        <v>1</v>
      </c>
      <c r="H21" s="55">
        <f>4*60</f>
        <v>240</v>
      </c>
      <c r="I21" s="55" t="e">
        <f>Quellen!#REF!</f>
        <v>#REF!</v>
      </c>
      <c r="J21" s="106" t="e">
        <f>Quellen!#REF!</f>
        <v>#REF!</v>
      </c>
      <c r="K21" s="55">
        <v>1</v>
      </c>
      <c r="L21" s="56"/>
      <c r="M21" s="107" t="e">
        <f>(1/C21^2)*Quellen!#REF!/K21</f>
        <v>#REF!</v>
      </c>
      <c r="N21" s="107" t="e">
        <f>(1/C21^2)*Quellen!#REF!/K21</f>
        <v>#REF!</v>
      </c>
      <c r="O21" s="52" t="e">
        <f>((G21*H21)/60*N21*5*50)/1000</f>
        <v>#REF!</v>
      </c>
      <c r="P21" s="114" t="e">
        <f t="shared" si="0"/>
        <v>#REF!</v>
      </c>
    </row>
    <row r="22" spans="1:16" x14ac:dyDescent="0.25">
      <c r="A22" s="56">
        <f>Positionen!B10</f>
        <v>5</v>
      </c>
      <c r="B22" s="56" t="str">
        <f>Positionen!C10</f>
        <v>Oben2</v>
      </c>
      <c r="C22" s="105">
        <f>AbstandsTab!G9</f>
        <v>0</v>
      </c>
      <c r="D22" s="55" t="e">
        <f>Quellen!#REF!</f>
        <v>#REF!</v>
      </c>
      <c r="E22" s="56" t="e">
        <f>Quellen!#REF!</f>
        <v>#REF!</v>
      </c>
      <c r="F22" s="55">
        <v>1</v>
      </c>
      <c r="G22" s="55">
        <v>1</v>
      </c>
      <c r="H22" s="55">
        <f>24*60</f>
        <v>1440</v>
      </c>
      <c r="I22" s="55" t="e">
        <f>Quellen!#REF!</f>
        <v>#REF!</v>
      </c>
      <c r="J22" s="106" t="e">
        <f>Quellen!#REF!</f>
        <v>#REF!</v>
      </c>
      <c r="K22" s="55" t="e">
        <f>Quellen!#REF!</f>
        <v>#REF!</v>
      </c>
      <c r="L22" s="56"/>
      <c r="M22" s="118" t="s">
        <v>51</v>
      </c>
      <c r="N22" s="118" t="s">
        <v>51</v>
      </c>
      <c r="O22" s="118" t="s">
        <v>51</v>
      </c>
      <c r="P22" s="119" t="s">
        <v>51</v>
      </c>
    </row>
    <row r="23" spans="1:16" x14ac:dyDescent="0.25">
      <c r="A23" s="56">
        <f>Positionen!B11</f>
        <v>6</v>
      </c>
      <c r="B23" s="56" t="str">
        <f>Positionen!C11</f>
        <v>Oben 3</v>
      </c>
      <c r="C23" s="105">
        <f>AbstandsTab!G10</f>
        <v>0.5</v>
      </c>
      <c r="D23" s="55" t="e">
        <f>Quellen!#REF!</f>
        <v>#REF!</v>
      </c>
      <c r="E23" s="56" t="e">
        <f>Quellen!#REF!</f>
        <v>#REF!</v>
      </c>
      <c r="F23" s="55">
        <v>1</v>
      </c>
      <c r="G23" s="55">
        <v>1</v>
      </c>
      <c r="H23" s="55">
        <f>'Quell-Details'!J17</f>
        <v>1260</v>
      </c>
      <c r="I23" s="55" t="e">
        <f>Quellen!#REF!</f>
        <v>#REF!</v>
      </c>
      <c r="J23" s="106" t="e">
        <f>Quellen!#REF!</f>
        <v>#REF!</v>
      </c>
      <c r="K23" s="55">
        <v>1</v>
      </c>
      <c r="L23" s="56"/>
      <c r="M23" s="107">
        <f>(1/C23^2)*'Quell-Details'!I17/K23</f>
        <v>0.90843023255813948</v>
      </c>
      <c r="N23" s="107">
        <f>(1/C23^2)*'Quell-Details'!L17/K23</f>
        <v>3.548555595930232E-2</v>
      </c>
      <c r="O23" s="52">
        <f t="shared" ref="O23:O52" si="3">((G23*H23)/60*N23*5*50)/1000</f>
        <v>0.18629916878633715</v>
      </c>
      <c r="P23" s="114" t="e">
        <f t="shared" si="0"/>
        <v>#REF!</v>
      </c>
    </row>
    <row r="24" spans="1:16" x14ac:dyDescent="0.25">
      <c r="A24" s="56">
        <f>Positionen!B12</f>
        <v>7</v>
      </c>
      <c r="B24" s="56" t="str">
        <f>Positionen!C12</f>
        <v>UNTEN 1</v>
      </c>
      <c r="C24" s="105">
        <f>AbstandsTab!G11</f>
        <v>11.5</v>
      </c>
      <c r="D24" s="121" t="s">
        <v>51</v>
      </c>
      <c r="E24" s="56" t="s">
        <v>51</v>
      </c>
      <c r="F24" s="55" t="s">
        <v>51</v>
      </c>
      <c r="G24" s="55" t="s">
        <v>51</v>
      </c>
      <c r="H24" s="55" t="s">
        <v>51</v>
      </c>
      <c r="I24" s="55" t="s">
        <v>51</v>
      </c>
      <c r="J24" s="106" t="s">
        <v>51</v>
      </c>
      <c r="K24" s="55" t="s">
        <v>51</v>
      </c>
      <c r="L24" s="56" t="s">
        <v>51</v>
      </c>
      <c r="M24" s="107" t="s">
        <v>51</v>
      </c>
      <c r="N24" s="107" t="s">
        <v>51</v>
      </c>
      <c r="O24" s="52" t="s">
        <v>51</v>
      </c>
      <c r="P24" s="114" t="s">
        <v>51</v>
      </c>
    </row>
    <row r="25" spans="1:16" x14ac:dyDescent="0.25">
      <c r="A25" s="56">
        <f>Positionen!B13</f>
        <v>8</v>
      </c>
      <c r="B25" s="56" t="str">
        <f>Positionen!C13</f>
        <v>UNTEN 2</v>
      </c>
      <c r="C25" s="105">
        <f>AbstandsTab!G12</f>
        <v>9.6176920308356717</v>
      </c>
      <c r="D25" s="55" t="s">
        <v>51</v>
      </c>
      <c r="E25" s="56" t="s">
        <v>51</v>
      </c>
      <c r="F25" s="55" t="s">
        <v>51</v>
      </c>
      <c r="G25" s="55" t="s">
        <v>51</v>
      </c>
      <c r="H25" s="55" t="s">
        <v>51</v>
      </c>
      <c r="I25" s="55" t="s">
        <v>51</v>
      </c>
      <c r="J25" s="106" t="s">
        <v>51</v>
      </c>
      <c r="K25" s="55" t="s">
        <v>51</v>
      </c>
      <c r="L25" s="56" t="s">
        <v>51</v>
      </c>
      <c r="M25" s="107" t="s">
        <v>51</v>
      </c>
      <c r="N25" s="107" t="s">
        <v>51</v>
      </c>
      <c r="O25" s="52" t="s">
        <v>51</v>
      </c>
      <c r="P25" s="114" t="s">
        <v>51</v>
      </c>
    </row>
    <row r="26" spans="1:16" x14ac:dyDescent="0.25">
      <c r="A26" s="56">
        <f>Positionen!B14</f>
        <v>9</v>
      </c>
      <c r="B26" s="56" t="str">
        <f>Positionen!C14</f>
        <v>UNTEN 3</v>
      </c>
      <c r="C26" s="105">
        <f>AbstandsTab!G13</f>
        <v>9.6176920308356717</v>
      </c>
      <c r="D26" s="55" t="s">
        <v>51</v>
      </c>
      <c r="E26" s="56" t="s">
        <v>51</v>
      </c>
      <c r="F26" s="55" t="s">
        <v>51</v>
      </c>
      <c r="G26" s="55" t="s">
        <v>51</v>
      </c>
      <c r="H26" s="55" t="s">
        <v>51</v>
      </c>
      <c r="I26" s="55" t="s">
        <v>51</v>
      </c>
      <c r="J26" s="106" t="s">
        <v>51</v>
      </c>
      <c r="K26" s="55" t="s">
        <v>51</v>
      </c>
      <c r="L26" s="56" t="s">
        <v>51</v>
      </c>
      <c r="M26" s="107" t="s">
        <v>51</v>
      </c>
      <c r="N26" s="107" t="s">
        <v>51</v>
      </c>
      <c r="O26" s="52" t="s">
        <v>51</v>
      </c>
      <c r="P26" s="114" t="s">
        <v>51</v>
      </c>
    </row>
    <row r="27" spans="1:16" x14ac:dyDescent="0.25">
      <c r="A27" s="56">
        <f>Positionen!B15</f>
        <v>10</v>
      </c>
      <c r="B27" s="56" t="str">
        <f>Positionen!C15</f>
        <v>OBEN 4</v>
      </c>
      <c r="C27" s="105">
        <f>AbstandsTab!G14</f>
        <v>1.5</v>
      </c>
      <c r="D27" s="55" t="s">
        <v>51</v>
      </c>
      <c r="E27" s="56" t="s">
        <v>51</v>
      </c>
      <c r="F27" s="55" t="s">
        <v>51</v>
      </c>
      <c r="G27" s="55" t="s">
        <v>51</v>
      </c>
      <c r="H27" s="55" t="s">
        <v>51</v>
      </c>
      <c r="I27" s="55" t="s">
        <v>51</v>
      </c>
      <c r="J27" s="106" t="s">
        <v>51</v>
      </c>
      <c r="K27" s="55" t="s">
        <v>51</v>
      </c>
      <c r="L27" s="56" t="s">
        <v>51</v>
      </c>
      <c r="M27" s="107" t="s">
        <v>51</v>
      </c>
      <c r="N27" s="107" t="s">
        <v>51</v>
      </c>
      <c r="O27" s="52" t="s">
        <v>51</v>
      </c>
      <c r="P27" s="114" t="s">
        <v>51</v>
      </c>
    </row>
    <row r="28" spans="1:16" x14ac:dyDescent="0.25">
      <c r="A28" s="56" t="e">
        <f>Positionen!#REF!</f>
        <v>#REF!</v>
      </c>
      <c r="B28" s="56" t="e">
        <f>Positionen!#REF!</f>
        <v>#REF!</v>
      </c>
      <c r="C28" s="105" t="e">
        <f>AbstandsTab!#REF!</f>
        <v>#REF!</v>
      </c>
      <c r="D28" s="55" t="s">
        <v>51</v>
      </c>
      <c r="E28" s="56" t="s">
        <v>51</v>
      </c>
      <c r="F28" s="55" t="s">
        <v>51</v>
      </c>
      <c r="G28" s="55" t="s">
        <v>51</v>
      </c>
      <c r="H28" s="55" t="s">
        <v>51</v>
      </c>
      <c r="I28" s="55" t="s">
        <v>51</v>
      </c>
      <c r="J28" s="106" t="s">
        <v>51</v>
      </c>
      <c r="K28" s="55" t="s">
        <v>51</v>
      </c>
      <c r="L28" s="56" t="s">
        <v>51</v>
      </c>
      <c r="M28" s="107" t="s">
        <v>51</v>
      </c>
      <c r="N28" s="107" t="s">
        <v>51</v>
      </c>
      <c r="O28" s="52" t="s">
        <v>51</v>
      </c>
      <c r="P28" s="114" t="s">
        <v>51</v>
      </c>
    </row>
    <row r="29" spans="1:16" x14ac:dyDescent="0.25">
      <c r="A29" s="56" t="e">
        <f>Positionen!#REF!</f>
        <v>#REF!</v>
      </c>
      <c r="B29" s="56" t="e">
        <f>Positionen!#REF!</f>
        <v>#REF!</v>
      </c>
      <c r="C29" s="105" t="e">
        <f>AbstandsTab!#REF!</f>
        <v>#REF!</v>
      </c>
      <c r="D29" s="55" t="s">
        <v>51</v>
      </c>
      <c r="E29" s="56" t="s">
        <v>51</v>
      </c>
      <c r="F29" s="55" t="s">
        <v>51</v>
      </c>
      <c r="G29" s="55" t="s">
        <v>51</v>
      </c>
      <c r="H29" s="55" t="s">
        <v>51</v>
      </c>
      <c r="I29" s="55" t="s">
        <v>51</v>
      </c>
      <c r="J29" s="106" t="s">
        <v>51</v>
      </c>
      <c r="K29" s="55" t="s">
        <v>51</v>
      </c>
      <c r="L29" s="56" t="s">
        <v>51</v>
      </c>
      <c r="M29" s="107" t="s">
        <v>51</v>
      </c>
      <c r="N29" s="107" t="s">
        <v>51</v>
      </c>
      <c r="O29" s="52" t="s">
        <v>51</v>
      </c>
      <c r="P29" s="114" t="s">
        <v>51</v>
      </c>
    </row>
    <row r="30" spans="1:16" x14ac:dyDescent="0.25">
      <c r="A30" s="56" t="e">
        <f>Positionen!#REF!</f>
        <v>#REF!</v>
      </c>
      <c r="B30" s="56" t="e">
        <f>Positionen!#REF!</f>
        <v>#REF!</v>
      </c>
      <c r="C30" s="105" t="e">
        <f>AbstandsTab!#REF!</f>
        <v>#REF!</v>
      </c>
      <c r="D30" s="55" t="s">
        <v>51</v>
      </c>
      <c r="E30" s="56" t="s">
        <v>51</v>
      </c>
      <c r="F30" s="55" t="s">
        <v>51</v>
      </c>
      <c r="G30" s="55" t="s">
        <v>51</v>
      </c>
      <c r="H30" s="55" t="s">
        <v>51</v>
      </c>
      <c r="I30" s="55" t="s">
        <v>51</v>
      </c>
      <c r="J30" s="106" t="s">
        <v>51</v>
      </c>
      <c r="K30" s="55" t="s">
        <v>51</v>
      </c>
      <c r="L30" s="56" t="s">
        <v>51</v>
      </c>
      <c r="M30" s="107" t="s">
        <v>51</v>
      </c>
      <c r="N30" s="107" t="s">
        <v>51</v>
      </c>
      <c r="O30" s="52" t="s">
        <v>51</v>
      </c>
      <c r="P30" s="114" t="s">
        <v>51</v>
      </c>
    </row>
    <row r="31" spans="1:16" x14ac:dyDescent="0.25">
      <c r="A31" s="56" t="e">
        <f>Positionen!#REF!</f>
        <v>#REF!</v>
      </c>
      <c r="B31" s="56" t="e">
        <f>Positionen!#REF!</f>
        <v>#REF!</v>
      </c>
      <c r="C31" s="105" t="e">
        <f>AbstandsTab!#REF!</f>
        <v>#REF!</v>
      </c>
      <c r="D31" s="55" t="s">
        <v>51</v>
      </c>
      <c r="E31" s="56" t="s">
        <v>51</v>
      </c>
      <c r="F31" s="55" t="s">
        <v>51</v>
      </c>
      <c r="G31" s="55" t="s">
        <v>51</v>
      </c>
      <c r="H31" s="55" t="s">
        <v>51</v>
      </c>
      <c r="I31" s="55" t="s">
        <v>51</v>
      </c>
      <c r="J31" s="106" t="s">
        <v>51</v>
      </c>
      <c r="K31" s="55" t="s">
        <v>51</v>
      </c>
      <c r="L31" s="56" t="s">
        <v>51</v>
      </c>
      <c r="M31" s="107" t="s">
        <v>51</v>
      </c>
      <c r="N31" s="107" t="s">
        <v>51</v>
      </c>
      <c r="O31" s="52" t="s">
        <v>51</v>
      </c>
      <c r="P31" s="114" t="s">
        <v>51</v>
      </c>
    </row>
    <row r="32" spans="1:16" ht="18" customHeight="1" x14ac:dyDescent="0.25">
      <c r="A32" s="56" t="e">
        <f>Positionen!#REF!</f>
        <v>#REF!</v>
      </c>
      <c r="B32" s="56" t="e">
        <f>Positionen!#REF!</f>
        <v>#REF!</v>
      </c>
      <c r="C32" s="105" t="e">
        <f>AbstandsTab!#REF!</f>
        <v>#REF!</v>
      </c>
      <c r="D32" s="55" t="s">
        <v>51</v>
      </c>
      <c r="E32" s="56" t="s">
        <v>51</v>
      </c>
      <c r="F32" s="55" t="s">
        <v>51</v>
      </c>
      <c r="G32" s="55" t="s">
        <v>51</v>
      </c>
      <c r="H32" s="55" t="s">
        <v>51</v>
      </c>
      <c r="I32" s="55" t="s">
        <v>51</v>
      </c>
      <c r="J32" s="106" t="s">
        <v>51</v>
      </c>
      <c r="K32" s="55" t="s">
        <v>51</v>
      </c>
      <c r="L32" s="56" t="s">
        <v>51</v>
      </c>
      <c r="M32" s="107" t="s">
        <v>51</v>
      </c>
      <c r="N32" s="107" t="s">
        <v>51</v>
      </c>
      <c r="O32" s="52" t="s">
        <v>51</v>
      </c>
      <c r="P32" s="114" t="s">
        <v>51</v>
      </c>
    </row>
    <row r="33" spans="1:16" x14ac:dyDescent="0.25">
      <c r="A33" s="56" t="e">
        <f>Positionen!#REF!</f>
        <v>#REF!</v>
      </c>
      <c r="B33" s="56" t="e">
        <f>Positionen!#REF!</f>
        <v>#REF!</v>
      </c>
      <c r="C33" s="105" t="e">
        <f>AbstandsTab!#REF!</f>
        <v>#REF!</v>
      </c>
      <c r="D33" s="55" t="s">
        <v>51</v>
      </c>
      <c r="E33" s="56" t="s">
        <v>51</v>
      </c>
      <c r="F33" s="55" t="s">
        <v>51</v>
      </c>
      <c r="G33" s="55" t="s">
        <v>51</v>
      </c>
      <c r="H33" s="55" t="s">
        <v>51</v>
      </c>
      <c r="I33" s="55" t="s">
        <v>51</v>
      </c>
      <c r="J33" s="106" t="s">
        <v>51</v>
      </c>
      <c r="K33" s="55" t="s">
        <v>51</v>
      </c>
      <c r="L33" s="56" t="s">
        <v>51</v>
      </c>
      <c r="M33" s="107" t="s">
        <v>51</v>
      </c>
      <c r="N33" s="107" t="s">
        <v>51</v>
      </c>
      <c r="O33" s="52" t="s">
        <v>51</v>
      </c>
      <c r="P33" s="114" t="s">
        <v>51</v>
      </c>
    </row>
    <row r="34" spans="1:16" x14ac:dyDescent="0.25">
      <c r="A34" s="56" t="e">
        <f>Positionen!#REF!</f>
        <v>#REF!</v>
      </c>
      <c r="B34" s="56" t="e">
        <f>Positionen!#REF!</f>
        <v>#REF!</v>
      </c>
      <c r="C34" s="105" t="e">
        <f>AbstandsTab!#REF!</f>
        <v>#REF!</v>
      </c>
      <c r="D34" s="55">
        <f>Quellen!A7</f>
        <v>1</v>
      </c>
      <c r="E34" s="56" t="str">
        <f>Quellen!B7</f>
        <v>ThPat. J-131</v>
      </c>
      <c r="F34" s="55">
        <f>'Quell-Details'!B9</f>
        <v>1</v>
      </c>
      <c r="G34" s="55">
        <f>Quellen!C7</f>
        <v>1</v>
      </c>
      <c r="H34" s="55">
        <f>'Quell-Details'!J10</f>
        <v>120</v>
      </c>
      <c r="I34" s="55" t="str">
        <f>Quellen!E7</f>
        <v>J-131+</v>
      </c>
      <c r="J34" s="106">
        <f>'Quell-Details'!E9</f>
        <v>500</v>
      </c>
      <c r="K34" s="55">
        <f>'Quell-Details'!H9</f>
        <v>1</v>
      </c>
      <c r="L34" s="56"/>
      <c r="M34" s="107" t="e">
        <f>(1/C34^2)*'Quell-Details'!I9/K34</f>
        <v>#REF!</v>
      </c>
      <c r="N34" s="107" t="e">
        <f>(1/C34^2)*'Quell-Details'!L9/K34</f>
        <v>#REF!</v>
      </c>
      <c r="O34" s="52" t="e">
        <f t="shared" si="3"/>
        <v>#REF!</v>
      </c>
      <c r="P34" s="114" t="e">
        <f t="shared" si="0"/>
        <v>#REF!</v>
      </c>
    </row>
    <row r="35" spans="1:16" x14ac:dyDescent="0.25">
      <c r="A35" s="56" t="e">
        <f>Positionen!#REF!</f>
        <v>#REF!</v>
      </c>
      <c r="B35" s="56" t="e">
        <f>Positionen!#REF!</f>
        <v>#REF!</v>
      </c>
      <c r="C35" s="105" t="e">
        <f>AbstandsTab!#REF!</f>
        <v>#REF!</v>
      </c>
      <c r="D35" s="55">
        <f>Quellen!A8</f>
        <v>2</v>
      </c>
      <c r="E35" s="56" t="str">
        <f>Quellen!B8</f>
        <v>Tc-Generator</v>
      </c>
      <c r="F35" s="55">
        <v>1</v>
      </c>
      <c r="G35" s="55">
        <f>Quellen!C8</f>
        <v>1</v>
      </c>
      <c r="H35" s="55">
        <v>60</v>
      </c>
      <c r="I35" s="55" t="str">
        <f>Quellen!E8</f>
        <v>Mo-99+</v>
      </c>
      <c r="J35" s="106">
        <f>J34</f>
        <v>500</v>
      </c>
      <c r="K35" s="55">
        <f>K34</f>
        <v>1</v>
      </c>
      <c r="L35" s="56"/>
      <c r="M35" s="107" t="e">
        <f>M34</f>
        <v>#REF!</v>
      </c>
      <c r="N35" s="107" t="e">
        <f>N34</f>
        <v>#REF!</v>
      </c>
      <c r="O35" s="52" t="e">
        <f t="shared" si="3"/>
        <v>#REF!</v>
      </c>
      <c r="P35" s="114" t="e">
        <f t="shared" si="0"/>
        <v>#REF!</v>
      </c>
    </row>
    <row r="36" spans="1:16" x14ac:dyDescent="0.25">
      <c r="A36" s="56" t="e">
        <f>Positionen!#REF!</f>
        <v>#REF!</v>
      </c>
      <c r="B36" s="56" t="e">
        <f>Positionen!#REF!</f>
        <v>#REF!</v>
      </c>
      <c r="C36" s="105" t="e">
        <f>AbstandsTab!#REF!</f>
        <v>#REF!</v>
      </c>
      <c r="D36" s="55">
        <f>Quellen!A9</f>
        <v>3</v>
      </c>
      <c r="E36" s="56" t="str">
        <f>Quellen!B9</f>
        <v>Patient Tc-99m</v>
      </c>
      <c r="F36" s="55">
        <v>1</v>
      </c>
      <c r="G36" s="55">
        <f>Quellen!C9</f>
        <v>5</v>
      </c>
      <c r="H36" s="55">
        <v>60</v>
      </c>
      <c r="I36" s="55" t="str">
        <f>Quellen!E9</f>
        <v>Tc-99m</v>
      </c>
      <c r="J36" s="106">
        <f>J34</f>
        <v>500</v>
      </c>
      <c r="K36" s="55">
        <f>K34</f>
        <v>1</v>
      </c>
      <c r="L36" s="56"/>
      <c r="M36" s="107" t="e">
        <f>M34</f>
        <v>#REF!</v>
      </c>
      <c r="N36" s="107" t="e">
        <f>N34</f>
        <v>#REF!</v>
      </c>
      <c r="O36" s="52" t="e">
        <f t="shared" si="3"/>
        <v>#REF!</v>
      </c>
      <c r="P36" s="114" t="e">
        <f t="shared" si="0"/>
        <v>#REF!</v>
      </c>
    </row>
    <row r="37" spans="1:16" x14ac:dyDescent="0.25">
      <c r="A37" s="56" t="e">
        <f>Positionen!#REF!</f>
        <v>#REF!</v>
      </c>
      <c r="B37" s="56" t="e">
        <f>Positionen!#REF!</f>
        <v>#REF!</v>
      </c>
      <c r="C37" s="105" t="e">
        <f>AbstandsTab!#REF!</f>
        <v>#REF!</v>
      </c>
      <c r="D37" s="55">
        <f>Quellen!A8</f>
        <v>2</v>
      </c>
      <c r="E37" s="56" t="str">
        <f>Quellen!B8</f>
        <v>Tc-Generator</v>
      </c>
      <c r="F37" s="55">
        <v>1</v>
      </c>
      <c r="G37" s="55">
        <v>1</v>
      </c>
      <c r="H37" s="55">
        <f>0.5*60</f>
        <v>30</v>
      </c>
      <c r="I37" s="55" t="str">
        <f>Quellen!E8</f>
        <v>Mo-99+</v>
      </c>
      <c r="J37" s="106">
        <f>Quellen!F8</f>
        <v>20000</v>
      </c>
      <c r="K37" s="55">
        <f>Quellen!K8</f>
        <v>154.80000000000001</v>
      </c>
      <c r="L37" s="56"/>
      <c r="M37" s="107" t="e">
        <f>(1/C37^2)*'Quell-Details'!I9/K37</f>
        <v>#REF!</v>
      </c>
      <c r="N37" s="107" t="e">
        <f>(1/C37^2)*'Quell-Details'!L9/K37</f>
        <v>#REF!</v>
      </c>
      <c r="O37" s="52" t="e">
        <f t="shared" si="3"/>
        <v>#REF!</v>
      </c>
      <c r="P37" s="114" t="e">
        <f t="shared" si="0"/>
        <v>#REF!</v>
      </c>
    </row>
    <row r="38" spans="1:16" x14ac:dyDescent="0.25">
      <c r="A38" s="56" t="e">
        <f>Positionen!#REF!</f>
        <v>#REF!</v>
      </c>
      <c r="B38" s="56" t="e">
        <f>Positionen!#REF!</f>
        <v>#REF!</v>
      </c>
      <c r="C38" s="105" t="e">
        <f>AbstandsTab!#REF!</f>
        <v>#REF!</v>
      </c>
      <c r="D38" s="55">
        <f>Quellen!A10</f>
        <v>4</v>
      </c>
      <c r="E38" s="56" t="str">
        <f>Quellen!B10</f>
        <v>Patient F-18</v>
      </c>
      <c r="F38" s="55">
        <v>2</v>
      </c>
      <c r="G38" s="55">
        <f>Quellen!C10</f>
        <v>2</v>
      </c>
      <c r="H38" s="55">
        <f>0.5*60</f>
        <v>30</v>
      </c>
      <c r="I38" s="55" t="str">
        <f>Quellen!E11</f>
        <v>In-111+</v>
      </c>
      <c r="J38" s="106">
        <f>Quellen!F10</f>
        <v>370</v>
      </c>
      <c r="K38" s="55">
        <f>Quellen!K10</f>
        <v>1</v>
      </c>
      <c r="L38" s="56"/>
      <c r="M38" s="107" t="e">
        <f>(1/C38^2)*Quellen!H10/K38</f>
        <v>#REF!</v>
      </c>
      <c r="N38" s="107" t="e">
        <f>(1/C38^2)*Quellen!L10/K38</f>
        <v>#REF!</v>
      </c>
      <c r="O38" s="52" t="e">
        <f t="shared" si="3"/>
        <v>#REF!</v>
      </c>
      <c r="P38" s="114" t="e">
        <f t="shared" si="0"/>
        <v>#REF!</v>
      </c>
    </row>
    <row r="39" spans="1:16" x14ac:dyDescent="0.25">
      <c r="A39" s="56"/>
      <c r="B39" s="56"/>
      <c r="C39" s="105" t="e">
        <f>AbstandsTab!#REF!</f>
        <v>#REF!</v>
      </c>
      <c r="D39" s="55">
        <f>Quellen!A11</f>
        <v>5</v>
      </c>
      <c r="E39" s="56" t="str">
        <f>Quellen!B11</f>
        <v>Patient In-111</v>
      </c>
      <c r="F39" s="55">
        <v>2</v>
      </c>
      <c r="G39" s="55">
        <v>1</v>
      </c>
      <c r="H39" s="55">
        <f>0.1*60</f>
        <v>6</v>
      </c>
      <c r="I39" s="55" t="e">
        <f>Quellen!#REF!</f>
        <v>#REF!</v>
      </c>
      <c r="J39" s="106">
        <f>Quellen!F11</f>
        <v>120</v>
      </c>
      <c r="K39" s="55">
        <f>Quellen!K11</f>
        <v>1</v>
      </c>
      <c r="L39" s="56"/>
      <c r="M39" s="107" t="e">
        <f>(1/C39^2)*Quellen!L11/K39</f>
        <v>#REF!</v>
      </c>
      <c r="N39" s="107" t="e">
        <f>(1/C39^2)*Quellen!L11/K39</f>
        <v>#REF!</v>
      </c>
      <c r="O39" s="52" t="e">
        <f t="shared" ref="O39" si="4">((G39*H39)/60*N39*5*50)/1000</f>
        <v>#REF!</v>
      </c>
      <c r="P39" s="114" t="e">
        <f t="shared" ref="P39" si="5">O39/$I$7</f>
        <v>#REF!</v>
      </c>
    </row>
    <row r="40" spans="1:16" x14ac:dyDescent="0.25">
      <c r="A40" s="56"/>
      <c r="B40" s="56"/>
      <c r="C40" s="105" t="e">
        <f>AbstandsTab!#REF!</f>
        <v>#REF!</v>
      </c>
      <c r="D40" s="55">
        <f>Quellen!A12</f>
        <v>6</v>
      </c>
      <c r="E40" s="56" t="str">
        <f>Quellen!B12</f>
        <v>Tc-99m 2</v>
      </c>
      <c r="F40" s="55">
        <v>2</v>
      </c>
      <c r="G40" s="55">
        <f>Quellen!C12</f>
        <v>3</v>
      </c>
      <c r="H40" s="55">
        <f>0.1*60</f>
        <v>6</v>
      </c>
      <c r="I40" s="55" t="str">
        <f>Quellen!E12</f>
        <v>Tc-99m</v>
      </c>
      <c r="J40" s="106">
        <f>Quellen!F12</f>
        <v>320</v>
      </c>
      <c r="K40" s="55">
        <f>Quellen!K12</f>
        <v>1</v>
      </c>
      <c r="L40" s="56"/>
      <c r="M40" s="107" t="e">
        <f>(1/C40^2)*Quellen!L12/K40</f>
        <v>#REF!</v>
      </c>
      <c r="N40" s="107" t="e">
        <f>(1/C40^2)*Quellen!L12/K40</f>
        <v>#REF!</v>
      </c>
      <c r="O40" s="52" t="e">
        <f t="shared" ref="O40" si="6">((G40*H40)/60*N40*5*50)/1000</f>
        <v>#REF!</v>
      </c>
      <c r="P40" s="114" t="e">
        <f t="shared" ref="P40" si="7">O40/$I$7</f>
        <v>#REF!</v>
      </c>
    </row>
    <row r="41" spans="1:16" x14ac:dyDescent="0.25">
      <c r="A41" s="56" t="e">
        <f>Positionen!#REF!</f>
        <v>#REF!</v>
      </c>
      <c r="B41" s="56" t="e">
        <f>Positionen!#REF!</f>
        <v>#REF!</v>
      </c>
      <c r="C41" s="105" t="e">
        <f>AbstandsTab!#REF!</f>
        <v>#REF!</v>
      </c>
      <c r="D41" s="55">
        <f>Quellen!A10</f>
        <v>4</v>
      </c>
      <c r="E41" s="56" t="str">
        <f>Quellen!B10</f>
        <v>Patient F-18</v>
      </c>
      <c r="F41" s="55">
        <v>3</v>
      </c>
      <c r="G41" s="55">
        <v>1</v>
      </c>
      <c r="H41" s="55">
        <f>6*60</f>
        <v>360</v>
      </c>
      <c r="I41" s="55" t="str">
        <f>Quellen!E11</f>
        <v>In-111+</v>
      </c>
      <c r="J41" s="106">
        <f>Quellen!F10</f>
        <v>370</v>
      </c>
      <c r="K41" s="55">
        <f>Quellen!K10</f>
        <v>1</v>
      </c>
      <c r="L41" s="56"/>
      <c r="M41" s="107" t="e">
        <f>(1/C41^2)*Quellen!L10/K41</f>
        <v>#REF!</v>
      </c>
      <c r="N41" s="107" t="e">
        <f>(1/C41^2)*Quellen!L10/K41</f>
        <v>#REF!</v>
      </c>
      <c r="O41" s="52" t="e">
        <f t="shared" si="3"/>
        <v>#REF!</v>
      </c>
      <c r="P41" s="114" t="e">
        <f t="shared" si="0"/>
        <v>#REF!</v>
      </c>
    </row>
    <row r="42" spans="1:16" x14ac:dyDescent="0.25">
      <c r="A42" s="56" t="e">
        <f>Positionen!#REF!</f>
        <v>#REF!</v>
      </c>
      <c r="B42" s="56" t="e">
        <f>Positionen!#REF!</f>
        <v>#REF!</v>
      </c>
      <c r="C42" s="105" t="e">
        <f>AbstandsTab!#REF!</f>
        <v>#REF!</v>
      </c>
      <c r="D42" s="55">
        <f>Quellen!A11</f>
        <v>5</v>
      </c>
      <c r="E42" s="56" t="str">
        <f>Quellen!B11</f>
        <v>Patient In-111</v>
      </c>
      <c r="F42" s="55">
        <v>3</v>
      </c>
      <c r="G42" s="55">
        <v>1</v>
      </c>
      <c r="H42" s="55">
        <f>4*30</f>
        <v>120</v>
      </c>
      <c r="I42" s="55" t="e">
        <f>Quellen!#REF!</f>
        <v>#REF!</v>
      </c>
      <c r="J42" s="106">
        <f>Quellen!F11</f>
        <v>120</v>
      </c>
      <c r="K42" s="55">
        <v>1</v>
      </c>
      <c r="L42" s="56"/>
      <c r="M42" s="107" t="e">
        <f>(1/C42^2)*Quellen!L11/K42</f>
        <v>#REF!</v>
      </c>
      <c r="N42" s="107" t="e">
        <f>(1/C42^2)*Quellen!L11/K42</f>
        <v>#REF!</v>
      </c>
      <c r="O42" s="52" t="e">
        <f t="shared" si="3"/>
        <v>#REF!</v>
      </c>
      <c r="P42" s="114" t="e">
        <f t="shared" si="0"/>
        <v>#REF!</v>
      </c>
    </row>
    <row r="43" spans="1:16" x14ac:dyDescent="0.25">
      <c r="A43" s="56" t="e">
        <f>Positionen!#REF!</f>
        <v>#REF!</v>
      </c>
      <c r="B43" s="56" t="e">
        <f>Positionen!#REF!</f>
        <v>#REF!</v>
      </c>
      <c r="C43" s="105" t="e">
        <f>AbstandsTab!#REF!</f>
        <v>#REF!</v>
      </c>
      <c r="D43" s="55"/>
      <c r="E43" s="56"/>
      <c r="F43" s="55"/>
      <c r="G43" s="55"/>
      <c r="H43" s="55"/>
      <c r="I43" s="55"/>
      <c r="J43" s="106"/>
      <c r="K43" s="55"/>
      <c r="L43" s="56"/>
      <c r="M43" s="107"/>
      <c r="N43" s="107"/>
      <c r="O43" s="52">
        <f t="shared" si="3"/>
        <v>0</v>
      </c>
      <c r="P43" s="114" t="e">
        <f t="shared" si="0"/>
        <v>#REF!</v>
      </c>
    </row>
    <row r="44" spans="1:16" x14ac:dyDescent="0.25">
      <c r="A44" s="56" t="e">
        <f>Positionen!#REF!</f>
        <v>#REF!</v>
      </c>
      <c r="B44" s="56" t="e">
        <f>Positionen!#REF!</f>
        <v>#REF!</v>
      </c>
      <c r="C44" s="105" t="e">
        <f>AbstandsTab!#REF!</f>
        <v>#REF!</v>
      </c>
      <c r="D44" s="55"/>
      <c r="E44" s="56"/>
      <c r="F44" s="55"/>
      <c r="G44" s="55"/>
      <c r="H44" s="55"/>
      <c r="I44" s="55"/>
      <c r="J44" s="106"/>
      <c r="K44" s="55"/>
      <c r="L44" s="56"/>
      <c r="M44" s="107"/>
      <c r="N44" s="107"/>
      <c r="O44" s="52">
        <f t="shared" si="3"/>
        <v>0</v>
      </c>
      <c r="P44" s="114" t="e">
        <f t="shared" si="0"/>
        <v>#REF!</v>
      </c>
    </row>
    <row r="45" spans="1:16" x14ac:dyDescent="0.25">
      <c r="A45" s="56" t="e">
        <f>Positionen!#REF!</f>
        <v>#REF!</v>
      </c>
      <c r="B45" s="56" t="e">
        <f>Positionen!#REF!</f>
        <v>#REF!</v>
      </c>
      <c r="C45" s="105" t="e">
        <f>AbstandsTab!#REF!</f>
        <v>#REF!</v>
      </c>
      <c r="D45" s="55"/>
      <c r="E45" s="56"/>
      <c r="F45" s="55"/>
      <c r="G45" s="55"/>
      <c r="H45" s="55"/>
      <c r="I45" s="55"/>
      <c r="J45" s="106"/>
      <c r="K45" s="55"/>
      <c r="L45" s="56"/>
      <c r="M45" s="107"/>
      <c r="N45" s="107"/>
      <c r="O45" s="52">
        <f t="shared" si="3"/>
        <v>0</v>
      </c>
      <c r="P45" s="114" t="e">
        <f t="shared" si="0"/>
        <v>#REF!</v>
      </c>
    </row>
    <row r="46" spans="1:16" x14ac:dyDescent="0.25">
      <c r="A46" s="56" t="e">
        <f>Positionen!#REF!</f>
        <v>#REF!</v>
      </c>
      <c r="B46" s="56" t="e">
        <f>Positionen!#REF!</f>
        <v>#REF!</v>
      </c>
      <c r="C46" s="105" t="e">
        <f>AbstandsTab!#REF!</f>
        <v>#REF!</v>
      </c>
      <c r="D46" s="55"/>
      <c r="E46" s="56"/>
      <c r="F46" s="55"/>
      <c r="G46" s="55"/>
      <c r="H46" s="55"/>
      <c r="I46" s="55"/>
      <c r="J46" s="106"/>
      <c r="K46" s="55"/>
      <c r="L46" s="56"/>
      <c r="M46" s="107"/>
      <c r="N46" s="107"/>
      <c r="O46" s="52">
        <f t="shared" si="3"/>
        <v>0</v>
      </c>
      <c r="P46" s="114" t="e">
        <f t="shared" si="0"/>
        <v>#REF!</v>
      </c>
    </row>
    <row r="47" spans="1:16" x14ac:dyDescent="0.25">
      <c r="A47" s="56" t="e">
        <f>Positionen!#REF!</f>
        <v>#REF!</v>
      </c>
      <c r="B47" s="56" t="e">
        <f>Positionen!#REF!</f>
        <v>#REF!</v>
      </c>
      <c r="C47" s="105" t="e">
        <f>AbstandsTab!#REF!</f>
        <v>#REF!</v>
      </c>
      <c r="D47" s="55"/>
      <c r="E47" s="56"/>
      <c r="F47" s="55"/>
      <c r="G47" s="55"/>
      <c r="H47" s="55"/>
      <c r="I47" s="55"/>
      <c r="J47" s="106"/>
      <c r="K47" s="55"/>
      <c r="L47" s="56"/>
      <c r="M47" s="107"/>
      <c r="N47" s="107"/>
      <c r="O47" s="52">
        <f t="shared" si="3"/>
        <v>0</v>
      </c>
      <c r="P47" s="114" t="e">
        <f t="shared" si="0"/>
        <v>#REF!</v>
      </c>
    </row>
    <row r="48" spans="1:16" x14ac:dyDescent="0.25">
      <c r="A48" s="56" t="e">
        <f>Positionen!#REF!</f>
        <v>#REF!</v>
      </c>
      <c r="B48" s="56" t="e">
        <f>Positionen!#REF!</f>
        <v>#REF!</v>
      </c>
      <c r="C48" s="105" t="e">
        <f>AbstandsTab!#REF!</f>
        <v>#REF!</v>
      </c>
      <c r="D48" s="55"/>
      <c r="E48" s="56"/>
      <c r="F48" s="55"/>
      <c r="G48" s="55"/>
      <c r="H48" s="55"/>
      <c r="I48" s="55"/>
      <c r="J48" s="106"/>
      <c r="K48" s="55"/>
      <c r="L48" s="56"/>
      <c r="M48" s="107"/>
      <c r="N48" s="107"/>
      <c r="O48" s="52">
        <f t="shared" si="3"/>
        <v>0</v>
      </c>
      <c r="P48" s="114" t="e">
        <f t="shared" si="0"/>
        <v>#REF!</v>
      </c>
    </row>
    <row r="49" spans="1:16" x14ac:dyDescent="0.25">
      <c r="A49" s="56" t="e">
        <f>Positionen!#REF!</f>
        <v>#REF!</v>
      </c>
      <c r="B49" s="56" t="e">
        <f>Positionen!#REF!</f>
        <v>#REF!</v>
      </c>
      <c r="C49" s="105" t="e">
        <f>AbstandsTab!#REF!</f>
        <v>#REF!</v>
      </c>
      <c r="D49" s="55"/>
      <c r="E49" s="56"/>
      <c r="F49" s="55"/>
      <c r="G49" s="55"/>
      <c r="H49" s="55"/>
      <c r="I49" s="55"/>
      <c r="J49" s="106"/>
      <c r="K49" s="55"/>
      <c r="L49" s="56"/>
      <c r="M49" s="107"/>
      <c r="N49" s="107"/>
      <c r="O49" s="52">
        <f t="shared" si="3"/>
        <v>0</v>
      </c>
      <c r="P49" s="114" t="e">
        <f t="shared" si="0"/>
        <v>#REF!</v>
      </c>
    </row>
    <row r="50" spans="1:16" x14ac:dyDescent="0.25">
      <c r="A50" s="56" t="e">
        <f>Positionen!#REF!</f>
        <v>#REF!</v>
      </c>
      <c r="B50" s="56" t="e">
        <f>Positionen!#REF!</f>
        <v>#REF!</v>
      </c>
      <c r="C50" s="105" t="e">
        <f>AbstandsTab!#REF!</f>
        <v>#REF!</v>
      </c>
      <c r="D50" s="55"/>
      <c r="E50" s="56"/>
      <c r="F50" s="55"/>
      <c r="G50" s="55"/>
      <c r="H50" s="55"/>
      <c r="I50" s="55"/>
      <c r="J50" s="106"/>
      <c r="K50" s="55"/>
      <c r="L50" s="56"/>
      <c r="M50" s="107"/>
      <c r="N50" s="107"/>
      <c r="O50" s="52">
        <f t="shared" si="3"/>
        <v>0</v>
      </c>
      <c r="P50" s="114" t="e">
        <f t="shared" si="0"/>
        <v>#REF!</v>
      </c>
    </row>
    <row r="51" spans="1:16" x14ac:dyDescent="0.25">
      <c r="A51" s="56" t="e">
        <f>Positionen!#REF!</f>
        <v>#REF!</v>
      </c>
      <c r="B51" s="56" t="e">
        <f>Positionen!#REF!</f>
        <v>#REF!</v>
      </c>
      <c r="C51" s="105" t="e">
        <f>AbstandsTab!#REF!</f>
        <v>#REF!</v>
      </c>
      <c r="D51" s="55"/>
      <c r="E51" s="56"/>
      <c r="F51" s="55"/>
      <c r="G51" s="55"/>
      <c r="H51" s="55"/>
      <c r="I51" s="55"/>
      <c r="J51" s="106"/>
      <c r="K51" s="55"/>
      <c r="L51" s="56"/>
      <c r="M51" s="107"/>
      <c r="N51" s="107"/>
      <c r="O51" s="52">
        <f t="shared" si="3"/>
        <v>0</v>
      </c>
      <c r="P51" s="114" t="e">
        <f t="shared" si="0"/>
        <v>#REF!</v>
      </c>
    </row>
    <row r="52" spans="1:16" x14ac:dyDescent="0.25">
      <c r="A52" s="56" t="e">
        <f>Positionen!#REF!</f>
        <v>#REF!</v>
      </c>
      <c r="B52" s="56" t="e">
        <f>Positionen!#REF!</f>
        <v>#REF!</v>
      </c>
      <c r="C52" s="105" t="e">
        <f>AbstandsTab!#REF!</f>
        <v>#REF!</v>
      </c>
      <c r="D52" s="55"/>
      <c r="E52" s="56"/>
      <c r="F52" s="55"/>
      <c r="G52" s="55"/>
      <c r="H52" s="55"/>
      <c r="I52" s="55"/>
      <c r="J52" s="106"/>
      <c r="K52" s="55"/>
      <c r="L52" s="56"/>
      <c r="M52" s="107"/>
      <c r="N52" s="107"/>
      <c r="O52" s="52">
        <f t="shared" si="3"/>
        <v>0</v>
      </c>
      <c r="P52" s="114" t="e">
        <f t="shared" si="0"/>
        <v>#REF!</v>
      </c>
    </row>
  </sheetData>
  <mergeCells count="1">
    <mergeCell ref="A10:B10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3</vt:i4>
      </vt:variant>
    </vt:vector>
  </HeadingPairs>
  <TitlesOfParts>
    <vt:vector size="12" baseType="lpstr">
      <vt:lpstr>NUK Daten</vt:lpstr>
      <vt:lpstr>Positionen</vt:lpstr>
      <vt:lpstr>Position-Details</vt:lpstr>
      <vt:lpstr>AbstandsTab</vt:lpstr>
      <vt:lpstr>Quellen</vt:lpstr>
      <vt:lpstr>Quell-Details</vt:lpstr>
      <vt:lpstr>Aufpunkte</vt:lpstr>
      <vt:lpstr>APkt Details</vt:lpstr>
      <vt:lpstr>APkt QPkt</vt:lpstr>
      <vt:lpstr>Konst_h10</vt:lpstr>
      <vt:lpstr>NUK_h10</vt:lpstr>
      <vt:lpstr>Tau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damp</dc:creator>
  <cp:lastModifiedBy>damp</cp:lastModifiedBy>
  <dcterms:created xsi:type="dcterms:W3CDTF">2018-07-04T08:49:12Z</dcterms:created>
  <dcterms:modified xsi:type="dcterms:W3CDTF">2021-05-26T14:45:04Z</dcterms:modified>
</cp:coreProperties>
</file>